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defaultThemeVersion="124226"/>
  <mc:AlternateContent xmlns:mc="http://schemas.openxmlformats.org/markup-compatibility/2006">
    <mc:Choice Requires="x15">
      <x15ac:absPath xmlns:x15ac="http://schemas.microsoft.com/office/spreadsheetml/2010/11/ac" url="https://d.docs.live.net/4ec77292679c3131/NumEA/"/>
    </mc:Choice>
  </mc:AlternateContent>
  <xr:revisionPtr revIDLastSave="95" documentId="8_{6330FA13-5016-436B-8BE8-6A7014769636}" xr6:coauthVersionLast="45" xr6:coauthVersionMax="45" xr10:uidLastSave="{832DBFD0-4E7E-47E3-B56B-EC6530117BD7}"/>
  <bookViews>
    <workbookView xWindow="44880" yWindow="-120" windowWidth="29040" windowHeight="15840" tabRatio="991" xr2:uid="{00000000-000D-0000-FFFF-FFFF00000000}"/>
  </bookViews>
  <sheets>
    <sheet name="Présentation" sheetId="1" r:id="rId1"/>
    <sheet name="Données brutes" sheetId="2" r:id="rId2"/>
    <sheet name="équipements" sheetId="3" r:id="rId3"/>
    <sheet name="infrastructures" sheetId="4" r:id="rId4"/>
    <sheet name="services" sheetId="5" r:id="rId5"/>
    <sheet name="organisation, gestion et suivi" sheetId="6" r:id="rId6"/>
    <sheet name="formation" sheetId="7" r:id="rId7"/>
    <sheet name="utilisations" sheetId="8" r:id="rId8"/>
    <sheet name="usages" sheetId="9" r:id="rId9"/>
    <sheet name="Résumé" sheetId="10" r:id="rId10"/>
    <sheet name="RADAR" sheetId="11"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I8" i="2" l="1"/>
  <c r="B12" i="8" l="1"/>
  <c r="C12" i="8" s="1"/>
  <c r="A1" i="10" l="1"/>
  <c r="B18" i="6"/>
  <c r="B19" i="6"/>
  <c r="B20" i="6"/>
  <c r="B17" i="6"/>
  <c r="B16" i="6"/>
  <c r="B15" i="6"/>
  <c r="A6" i="4" l="1"/>
  <c r="C15" i="3" l="1"/>
  <c r="A21" i="3"/>
  <c r="A20" i="3"/>
  <c r="A13" i="3"/>
  <c r="A12" i="3"/>
  <c r="A11" i="3"/>
  <c r="A10" i="3"/>
  <c r="A9" i="3"/>
  <c r="A8" i="3"/>
  <c r="A7" i="3"/>
  <c r="A6" i="3"/>
  <c r="A5" i="3"/>
  <c r="A17" i="4" l="1"/>
  <c r="A16" i="4"/>
  <c r="A14" i="4"/>
  <c r="A10" i="4"/>
  <c r="A9" i="4"/>
  <c r="A8" i="4"/>
  <c r="A7" i="4"/>
  <c r="A17" i="5"/>
  <c r="A16" i="5"/>
  <c r="A15" i="5"/>
  <c r="A14" i="5"/>
  <c r="A13" i="5"/>
  <c r="A12" i="5"/>
  <c r="A11" i="5"/>
  <c r="A10" i="5"/>
  <c r="A9" i="5"/>
  <c r="A8" i="5"/>
  <c r="A5" i="5"/>
  <c r="A23" i="6"/>
  <c r="A22" i="6"/>
  <c r="A21" i="6"/>
  <c r="A18" i="6"/>
  <c r="A15" i="6"/>
  <c r="A14" i="6"/>
  <c r="A13" i="6"/>
  <c r="A12" i="6"/>
  <c r="A11" i="6"/>
  <c r="A10" i="6"/>
  <c r="A9" i="6"/>
  <c r="A8" i="6"/>
  <c r="A7" i="6"/>
  <c r="A6" i="6"/>
  <c r="A5" i="6"/>
  <c r="A15" i="7"/>
  <c r="A14" i="7"/>
  <c r="A13" i="7"/>
  <c r="A12" i="7"/>
  <c r="A11" i="7"/>
  <c r="A10" i="7"/>
  <c r="A9" i="7"/>
  <c r="A8" i="7"/>
  <c r="A7" i="7"/>
  <c r="A6" i="7"/>
  <c r="A5" i="7"/>
  <c r="A13" i="8"/>
  <c r="A12" i="8"/>
  <c r="A11" i="8"/>
  <c r="A10" i="8"/>
  <c r="A9" i="8"/>
  <c r="A8" i="8"/>
  <c r="A7" i="8"/>
  <c r="A6" i="8"/>
  <c r="A5" i="8"/>
  <c r="A16" i="9"/>
  <c r="A15" i="9"/>
  <c r="A14" i="9"/>
  <c r="A13" i="9"/>
  <c r="A17" i="9"/>
  <c r="A18" i="9"/>
  <c r="A19" i="9"/>
  <c r="A12" i="9"/>
  <c r="A11" i="9"/>
  <c r="A10" i="9"/>
  <c r="A9" i="9"/>
  <c r="A8" i="9"/>
  <c r="A7" i="9"/>
  <c r="A6" i="9"/>
  <c r="A5" i="9"/>
  <c r="B5" i="9" l="1"/>
  <c r="C5" i="9" s="1"/>
  <c r="E5" i="9" s="1"/>
  <c r="B6" i="9"/>
  <c r="C6" i="9" s="1"/>
  <c r="E6" i="9" s="1"/>
  <c r="B7" i="9"/>
  <c r="C7" i="9" s="1"/>
  <c r="E7" i="9" s="1"/>
  <c r="B8" i="9"/>
  <c r="C8" i="9" s="1"/>
  <c r="E8" i="9" s="1"/>
  <c r="B9" i="9"/>
  <c r="C9" i="9" s="1"/>
  <c r="E9" i="9" s="1"/>
  <c r="B10" i="9"/>
  <c r="C10" i="9" s="1"/>
  <c r="B11" i="9"/>
  <c r="B12" i="9"/>
  <c r="B13" i="9"/>
  <c r="B14" i="9"/>
  <c r="B15" i="9"/>
  <c r="C15" i="9" s="1"/>
  <c r="E15" i="9" s="1"/>
  <c r="B16" i="9"/>
  <c r="B17" i="9"/>
  <c r="C17" i="9" s="1"/>
  <c r="E17" i="9" s="1"/>
  <c r="B18" i="9"/>
  <c r="B19" i="9"/>
  <c r="F5" i="9"/>
  <c r="F6" i="9"/>
  <c r="F7" i="9"/>
  <c r="F8" i="9"/>
  <c r="F9" i="9"/>
  <c r="F10" i="9"/>
  <c r="F11" i="9"/>
  <c r="F12" i="9"/>
  <c r="F13" i="9"/>
  <c r="F14" i="9"/>
  <c r="F15" i="9"/>
  <c r="F16" i="9"/>
  <c r="F17" i="9"/>
  <c r="F18" i="9"/>
  <c r="F19" i="9"/>
  <c r="B5" i="8"/>
  <c r="C5" i="8" s="1"/>
  <c r="E5" i="8" s="1"/>
  <c r="B6" i="8"/>
  <c r="C6" i="8" s="1"/>
  <c r="E6" i="8" s="1"/>
  <c r="B7" i="8"/>
  <c r="C7" i="8" s="1"/>
  <c r="E7" i="8" s="1"/>
  <c r="B8" i="8"/>
  <c r="C8" i="8" s="1"/>
  <c r="E8" i="8" s="1"/>
  <c r="B9" i="8"/>
  <c r="C9" i="8" s="1"/>
  <c r="E9" i="8" s="1"/>
  <c r="B10" i="8"/>
  <c r="C10" i="8" s="1"/>
  <c r="E10" i="8" s="1"/>
  <c r="B11" i="8"/>
  <c r="C11" i="8" s="1"/>
  <c r="E11" i="8" s="1"/>
  <c r="B13" i="8"/>
  <c r="F5" i="8"/>
  <c r="F6" i="8"/>
  <c r="C16" i="8" s="1"/>
  <c r="F7" i="8"/>
  <c r="F8" i="8"/>
  <c r="F9" i="8"/>
  <c r="F10" i="8"/>
  <c r="F11" i="8"/>
  <c r="F12" i="8"/>
  <c r="F13" i="8"/>
  <c r="B5" i="7"/>
  <c r="C5" i="7" s="1"/>
  <c r="E5" i="7" s="1"/>
  <c r="B6" i="7"/>
  <c r="C6" i="7" s="1"/>
  <c r="E6" i="7" s="1"/>
  <c r="B7" i="7"/>
  <c r="C7" i="7" s="1"/>
  <c r="E7" i="7" s="1"/>
  <c r="B8" i="7"/>
  <c r="C8" i="7" s="1"/>
  <c r="E8" i="7" s="1"/>
  <c r="B9" i="7"/>
  <c r="C9" i="7" s="1"/>
  <c r="E9" i="7" s="1"/>
  <c r="B10" i="7"/>
  <c r="C10" i="7" s="1"/>
  <c r="E10" i="7" s="1"/>
  <c r="B11" i="7"/>
  <c r="C11" i="7" s="1"/>
  <c r="E11" i="7" s="1"/>
  <c r="B12" i="7"/>
  <c r="B13" i="7"/>
  <c r="C13" i="7" s="1"/>
  <c r="E13" i="7" s="1"/>
  <c r="B14" i="7"/>
  <c r="C14" i="7" s="1"/>
  <c r="E14" i="7" s="1"/>
  <c r="B15" i="7"/>
  <c r="C15" i="7" s="1"/>
  <c r="E15" i="7" s="1"/>
  <c r="F5" i="7"/>
  <c r="F6" i="7"/>
  <c r="F7" i="7"/>
  <c r="F8" i="7"/>
  <c r="F9" i="7"/>
  <c r="F10" i="7"/>
  <c r="F11" i="7"/>
  <c r="F12" i="7"/>
  <c r="F13" i="7"/>
  <c r="F14" i="7"/>
  <c r="F15" i="7"/>
  <c r="B5" i="6"/>
  <c r="C5" i="6" s="1"/>
  <c r="E5" i="6" s="1"/>
  <c r="B6" i="6"/>
  <c r="C6" i="6" s="1"/>
  <c r="E6" i="6" s="1"/>
  <c r="B7" i="6"/>
  <c r="C7" i="6" s="1"/>
  <c r="E7" i="6" s="1"/>
  <c r="B8" i="6"/>
  <c r="C8" i="6" s="1"/>
  <c r="E8" i="6" s="1"/>
  <c r="B9" i="6"/>
  <c r="C9" i="6" s="1"/>
  <c r="E9" i="6" s="1"/>
  <c r="B10" i="6"/>
  <c r="C10" i="6" s="1"/>
  <c r="E10" i="6" s="1"/>
  <c r="B11" i="6"/>
  <c r="C11" i="6" s="1"/>
  <c r="E11" i="6" s="1"/>
  <c r="B12" i="6"/>
  <c r="C12" i="6" s="1"/>
  <c r="E12" i="6" s="1"/>
  <c r="B13" i="6"/>
  <c r="C13" i="6" s="1"/>
  <c r="E13" i="6" s="1"/>
  <c r="B14" i="6"/>
  <c r="C14" i="6" s="1"/>
  <c r="E14" i="6" s="1"/>
  <c r="C15" i="6"/>
  <c r="C16" i="6"/>
  <c r="C17" i="6"/>
  <c r="C18" i="6"/>
  <c r="C19" i="6"/>
  <c r="C20" i="6"/>
  <c r="B21" i="6"/>
  <c r="C21" i="6" s="1"/>
  <c r="E21" i="6" s="1"/>
  <c r="B22" i="6"/>
  <c r="C22" i="6" s="1"/>
  <c r="E22" i="6" s="1"/>
  <c r="B23" i="6"/>
  <c r="F5" i="6"/>
  <c r="F6" i="6"/>
  <c r="F7" i="6"/>
  <c r="F8" i="6"/>
  <c r="F9" i="6"/>
  <c r="F10" i="6"/>
  <c r="F11" i="6"/>
  <c r="F12" i="6"/>
  <c r="F13" i="6"/>
  <c r="F14" i="6"/>
  <c r="F15" i="6"/>
  <c r="F18" i="6"/>
  <c r="F21" i="6"/>
  <c r="F22" i="6"/>
  <c r="F23" i="6"/>
  <c r="B5" i="5"/>
  <c r="B8" i="5"/>
  <c r="B9" i="5"/>
  <c r="C9" i="5" s="1"/>
  <c r="B10" i="5"/>
  <c r="B11" i="5"/>
  <c r="B12" i="5"/>
  <c r="C12" i="5" s="1"/>
  <c r="E12" i="5" s="1"/>
  <c r="B13" i="5"/>
  <c r="C13" i="5" s="1"/>
  <c r="E13" i="5" s="1"/>
  <c r="B14" i="5"/>
  <c r="C14" i="5" s="1"/>
  <c r="E14" i="5" s="1"/>
  <c r="B15" i="5"/>
  <c r="C15" i="5" s="1"/>
  <c r="E15" i="5" s="1"/>
  <c r="B16" i="5"/>
  <c r="C16" i="5" s="1"/>
  <c r="E16" i="5" s="1"/>
  <c r="B17" i="5"/>
  <c r="C17" i="5" s="1"/>
  <c r="E17" i="5" s="1"/>
  <c r="F5" i="5"/>
  <c r="F8" i="5"/>
  <c r="F9" i="5"/>
  <c r="F10" i="5"/>
  <c r="F11" i="5"/>
  <c r="F12" i="5"/>
  <c r="F13" i="5"/>
  <c r="F14" i="5"/>
  <c r="F15" i="5"/>
  <c r="F16" i="5"/>
  <c r="F17" i="5"/>
  <c r="B5" i="4"/>
  <c r="D5" i="4" s="1"/>
  <c r="F5" i="4" s="1"/>
  <c r="C6" i="4"/>
  <c r="D6" i="4" s="1"/>
  <c r="F6" i="4" s="1"/>
  <c r="C7" i="4"/>
  <c r="D7" i="4" s="1"/>
  <c r="F7" i="4" s="1"/>
  <c r="C8" i="4"/>
  <c r="D8" i="4" s="1"/>
  <c r="F8" i="4" s="1"/>
  <c r="C9" i="4"/>
  <c r="D9" i="4" s="1"/>
  <c r="F9" i="4" s="1"/>
  <c r="C10" i="4"/>
  <c r="D10" i="4" s="1"/>
  <c r="C11" i="4"/>
  <c r="D11" i="4" s="1"/>
  <c r="C12" i="4"/>
  <c r="D12" i="4" s="1"/>
  <c r="C13" i="4"/>
  <c r="D13" i="4" s="1"/>
  <c r="C14" i="4"/>
  <c r="D14" i="4" s="1"/>
  <c r="F14" i="4" s="1"/>
  <c r="B15" i="4"/>
  <c r="D15" i="4" s="1"/>
  <c r="F15" i="4" s="1"/>
  <c r="C16" i="4"/>
  <c r="D16" i="4" s="1"/>
  <c r="F16" i="4" s="1"/>
  <c r="C17" i="4"/>
  <c r="D17" i="4" s="1"/>
  <c r="F17" i="4" s="1"/>
  <c r="G5" i="4"/>
  <c r="G6" i="4"/>
  <c r="G7" i="4"/>
  <c r="G8" i="4"/>
  <c r="G9" i="4"/>
  <c r="G10" i="4"/>
  <c r="G14" i="4"/>
  <c r="G15" i="4"/>
  <c r="G16" i="4"/>
  <c r="G17" i="4"/>
  <c r="B5" i="3"/>
  <c r="D5" i="3" s="1"/>
  <c r="F5" i="3" s="1"/>
  <c r="B6" i="3"/>
  <c r="D6" i="3" s="1"/>
  <c r="F6" i="3" s="1"/>
  <c r="B7" i="3"/>
  <c r="D7" i="3" s="1"/>
  <c r="F7" i="3" s="1"/>
  <c r="B8" i="3"/>
  <c r="C8" i="3" s="1"/>
  <c r="B9" i="3"/>
  <c r="C9" i="3" s="1"/>
  <c r="B10" i="3"/>
  <c r="D10" i="3" s="1"/>
  <c r="F10" i="3" s="1"/>
  <c r="C11" i="3"/>
  <c r="D11" i="3" s="1"/>
  <c r="F11" i="3" s="1"/>
  <c r="C12" i="3"/>
  <c r="D12" i="3" s="1"/>
  <c r="F12" i="3" s="1"/>
  <c r="C13" i="3"/>
  <c r="D13" i="3" s="1"/>
  <c r="C14" i="3"/>
  <c r="D14" i="3" s="1"/>
  <c r="D15" i="3"/>
  <c r="C16" i="3"/>
  <c r="D16" i="3" s="1"/>
  <c r="C17" i="3"/>
  <c r="D17" i="3" s="1"/>
  <c r="C18" i="3"/>
  <c r="D18" i="3" s="1"/>
  <c r="C19" i="3"/>
  <c r="D19" i="3" s="1"/>
  <c r="C20" i="3"/>
  <c r="D20" i="3" s="1"/>
  <c r="F20" i="3" s="1"/>
  <c r="C21" i="3"/>
  <c r="D21" i="3" s="1"/>
  <c r="G5" i="3"/>
  <c r="G6" i="3"/>
  <c r="G7" i="3"/>
  <c r="G8" i="3"/>
  <c r="G9" i="3"/>
  <c r="G10" i="3"/>
  <c r="G11" i="3"/>
  <c r="G12" i="3"/>
  <c r="G13" i="3"/>
  <c r="G20" i="3"/>
  <c r="G21" i="3"/>
  <c r="B14" i="10"/>
  <c r="A14" i="10"/>
  <c r="B7" i="5"/>
  <c r="B6" i="5"/>
  <c r="G117" i="2"/>
  <c r="H117" i="2" s="1"/>
  <c r="G116" i="2"/>
  <c r="H116" i="2" s="1"/>
  <c r="G115" i="2"/>
  <c r="H115" i="2" s="1"/>
  <c r="G114" i="2"/>
  <c r="H114" i="2" s="1"/>
  <c r="G113" i="2"/>
  <c r="H113" i="2" s="1"/>
  <c r="G112" i="2"/>
  <c r="H112" i="2" s="1"/>
  <c r="G111" i="2"/>
  <c r="H111" i="2" s="1"/>
  <c r="G110" i="2"/>
  <c r="H110" i="2" s="1"/>
  <c r="G109" i="2"/>
  <c r="H109" i="2" s="1"/>
  <c r="G108" i="2"/>
  <c r="H108" i="2" s="1"/>
  <c r="G107" i="2"/>
  <c r="H107" i="2" s="1"/>
  <c r="G106" i="2"/>
  <c r="H106" i="2" s="1"/>
  <c r="G105" i="2"/>
  <c r="H105" i="2" s="1"/>
  <c r="G104" i="2"/>
  <c r="H104" i="2" s="1"/>
  <c r="G103" i="2"/>
  <c r="H103" i="2" s="1"/>
  <c r="I102" i="2"/>
  <c r="G100" i="2"/>
  <c r="H100" i="2" s="1"/>
  <c r="G99" i="2"/>
  <c r="H99" i="2" s="1"/>
  <c r="G98" i="2"/>
  <c r="H98" i="2" s="1"/>
  <c r="G97" i="2"/>
  <c r="H97" i="2" s="1"/>
  <c r="G96" i="2"/>
  <c r="H96" i="2" s="1"/>
  <c r="G95" i="2"/>
  <c r="H95" i="2" s="1"/>
  <c r="G94" i="2"/>
  <c r="H94" i="2" s="1"/>
  <c r="G93" i="2"/>
  <c r="H93" i="2" s="1"/>
  <c r="G92" i="2"/>
  <c r="H92" i="2" s="1"/>
  <c r="I91" i="2"/>
  <c r="G89" i="2"/>
  <c r="H89" i="2" s="1"/>
  <c r="G88" i="2"/>
  <c r="H88" i="2" s="1"/>
  <c r="G87" i="2"/>
  <c r="H87" i="2" s="1"/>
  <c r="G86" i="2"/>
  <c r="H86" i="2" s="1"/>
  <c r="G85" i="2"/>
  <c r="H85" i="2" s="1"/>
  <c r="G84" i="2"/>
  <c r="H84" i="2" s="1"/>
  <c r="G83" i="2"/>
  <c r="H83" i="2" s="1"/>
  <c r="G82" i="2"/>
  <c r="H82" i="2" s="1"/>
  <c r="G81" i="2"/>
  <c r="H81" i="2" s="1"/>
  <c r="G80" i="2"/>
  <c r="H80" i="2" s="1"/>
  <c r="G79" i="2"/>
  <c r="H79" i="2" s="1"/>
  <c r="I78" i="2"/>
  <c r="G76" i="2"/>
  <c r="H76" i="2" s="1"/>
  <c r="G75" i="2"/>
  <c r="H75" i="2" s="1"/>
  <c r="G74" i="2"/>
  <c r="H74" i="2" s="1"/>
  <c r="G73" i="2"/>
  <c r="H73" i="2" s="1"/>
  <c r="G72" i="2"/>
  <c r="H72" i="2" s="1"/>
  <c r="G71" i="2"/>
  <c r="H71" i="2" s="1"/>
  <c r="G70" i="2"/>
  <c r="H70" i="2" s="1"/>
  <c r="G69" i="2"/>
  <c r="H69" i="2" s="1"/>
  <c r="G68" i="2"/>
  <c r="H68" i="2" s="1"/>
  <c r="G67" i="2"/>
  <c r="H67" i="2" s="1"/>
  <c r="G66" i="2"/>
  <c r="H66" i="2" s="1"/>
  <c r="G65" i="2"/>
  <c r="H65" i="2" s="1"/>
  <c r="G64" i="2"/>
  <c r="H64" i="2" s="1"/>
  <c r="G63" i="2"/>
  <c r="H63" i="2" s="1"/>
  <c r="G62" i="2"/>
  <c r="H62" i="2" s="1"/>
  <c r="G61" i="2"/>
  <c r="H61" i="2" s="1"/>
  <c r="G60" i="2"/>
  <c r="H60" i="2" s="1"/>
  <c r="G59" i="2"/>
  <c r="H59" i="2" s="1"/>
  <c r="G58" i="2"/>
  <c r="H58" i="2" s="1"/>
  <c r="I57" i="2"/>
  <c r="G55" i="2"/>
  <c r="H55" i="2" s="1"/>
  <c r="G54" i="2"/>
  <c r="H54" i="2" s="1"/>
  <c r="G53" i="2"/>
  <c r="H53" i="2" s="1"/>
  <c r="G52" i="2"/>
  <c r="H52" i="2" s="1"/>
  <c r="G51" i="2"/>
  <c r="H51" i="2" s="1"/>
  <c r="G50" i="2"/>
  <c r="H50" i="2" s="1"/>
  <c r="G49" i="2"/>
  <c r="H49" i="2" s="1"/>
  <c r="G48" i="2"/>
  <c r="H48" i="2" s="1"/>
  <c r="G47" i="2"/>
  <c r="H47" i="2" s="1"/>
  <c r="G46" i="2"/>
  <c r="H46" i="2" s="1"/>
  <c r="G45" i="2"/>
  <c r="H45" i="2" s="1"/>
  <c r="G44" i="2"/>
  <c r="H44" i="2" s="1"/>
  <c r="G43" i="2"/>
  <c r="H43" i="2" s="1"/>
  <c r="I42" i="2"/>
  <c r="G40" i="2"/>
  <c r="H40" i="2" s="1"/>
  <c r="G39" i="2"/>
  <c r="H39" i="2" s="1"/>
  <c r="G38" i="2"/>
  <c r="H38" i="2" s="1"/>
  <c r="G37" i="2"/>
  <c r="H37" i="2" s="1"/>
  <c r="G36" i="2"/>
  <c r="H36" i="2" s="1"/>
  <c r="G35" i="2"/>
  <c r="H35" i="2" s="1"/>
  <c r="G34" i="2"/>
  <c r="H34" i="2" s="1"/>
  <c r="G33" i="2"/>
  <c r="H33" i="2" s="1"/>
  <c r="G32" i="2"/>
  <c r="H32" i="2" s="1"/>
  <c r="G31" i="2"/>
  <c r="H31" i="2" s="1"/>
  <c r="G30" i="2"/>
  <c r="H30" i="2" s="1"/>
  <c r="G29" i="2"/>
  <c r="H29" i="2" s="1"/>
  <c r="G28" i="2"/>
  <c r="H28" i="2" s="1"/>
  <c r="I27" i="2"/>
  <c r="G25" i="2"/>
  <c r="H25" i="2" s="1"/>
  <c r="G24" i="2"/>
  <c r="H24" i="2" s="1"/>
  <c r="G23" i="2"/>
  <c r="H23" i="2" s="1"/>
  <c r="G22" i="2"/>
  <c r="H22" i="2" s="1"/>
  <c r="G21" i="2"/>
  <c r="H21" i="2" s="1"/>
  <c r="G20" i="2"/>
  <c r="H20" i="2" s="1"/>
  <c r="G19" i="2"/>
  <c r="H19" i="2" s="1"/>
  <c r="G18" i="2"/>
  <c r="H18" i="2" s="1"/>
  <c r="G17" i="2"/>
  <c r="H17" i="2" s="1"/>
  <c r="G16" i="2"/>
  <c r="H16" i="2" s="1"/>
  <c r="G15" i="2"/>
  <c r="H15" i="2" s="1"/>
  <c r="G14" i="2"/>
  <c r="H14" i="2" s="1"/>
  <c r="G13" i="2"/>
  <c r="H13" i="2" s="1"/>
  <c r="G12" i="2"/>
  <c r="H12" i="2" s="1"/>
  <c r="G11" i="2"/>
  <c r="H11" i="2" s="1"/>
  <c r="G10" i="2"/>
  <c r="H10" i="2" s="1"/>
  <c r="G9" i="2"/>
  <c r="H9" i="2" s="1"/>
  <c r="G6" i="2"/>
  <c r="H6" i="2" s="1"/>
  <c r="G5" i="2"/>
  <c r="H5" i="2" s="1"/>
  <c r="G4" i="2"/>
  <c r="H4" i="2" s="1"/>
  <c r="G3" i="2"/>
  <c r="H3" i="2" s="1"/>
  <c r="G2" i="2"/>
  <c r="H2" i="2" s="1"/>
  <c r="C8" i="5" l="1"/>
  <c r="E8" i="5" s="1"/>
  <c r="C10" i="5"/>
  <c r="E10" i="5" s="1"/>
  <c r="C11" i="5"/>
  <c r="E11" i="5" s="1"/>
  <c r="H8" i="2"/>
  <c r="I1" i="2"/>
  <c r="C12" i="7"/>
  <c r="E12" i="7" s="1"/>
  <c r="B18" i="7" s="1"/>
  <c r="C6" i="5"/>
  <c r="E9" i="5"/>
  <c r="C13" i="8"/>
  <c r="E13" i="8" s="1"/>
  <c r="E12" i="8"/>
  <c r="F21" i="3"/>
  <c r="C19" i="9"/>
  <c r="E19" i="9" s="1"/>
  <c r="C18" i="9"/>
  <c r="E18" i="9" s="1"/>
  <c r="C16" i="9"/>
  <c r="E16" i="9" s="1"/>
  <c r="C13" i="9"/>
  <c r="E13" i="9" s="1"/>
  <c r="C14" i="9"/>
  <c r="E14" i="9" s="1"/>
  <c r="C12" i="9"/>
  <c r="E12" i="9" s="1"/>
  <c r="C11" i="9"/>
  <c r="E11" i="9" s="1"/>
  <c r="E10" i="9"/>
  <c r="C23" i="6"/>
  <c r="E23" i="6" s="1"/>
  <c r="D8" i="3"/>
  <c r="F8" i="3" s="1"/>
  <c r="D24" i="3"/>
  <c r="C5" i="3"/>
  <c r="D20" i="4"/>
  <c r="C20" i="5"/>
  <c r="C7" i="5"/>
  <c r="C25" i="6"/>
  <c r="C18" i="7"/>
  <c r="C23" i="9"/>
  <c r="F13" i="3"/>
  <c r="H91" i="2"/>
  <c r="G91" i="2" s="1"/>
  <c r="C5" i="4"/>
  <c r="E15" i="6"/>
  <c r="F10" i="4"/>
  <c r="C20" i="4" s="1"/>
  <c r="C22" i="4" s="1"/>
  <c r="H78" i="2"/>
  <c r="G78" i="2" s="1"/>
  <c r="E18" i="6"/>
  <c r="H102" i="2"/>
  <c r="G102" i="2" s="1"/>
  <c r="H57" i="2"/>
  <c r="G57" i="2" s="1"/>
  <c r="H42" i="2"/>
  <c r="G42" i="2" s="1"/>
  <c r="H27" i="2"/>
  <c r="G27" i="2" s="1"/>
  <c r="D9" i="3"/>
  <c r="F9" i="3" s="1"/>
  <c r="H1" i="2"/>
  <c r="G1" i="2" s="1"/>
  <c r="C6" i="3"/>
  <c r="C10" i="3"/>
  <c r="C7" i="3"/>
  <c r="C15" i="4"/>
  <c r="E5" i="5" l="1"/>
  <c r="B20" i="5" s="1"/>
  <c r="D1" i="5" s="1"/>
  <c r="B16" i="8"/>
  <c r="D1" i="8" s="1"/>
  <c r="B23" i="9"/>
  <c r="B25" i="9" s="1"/>
  <c r="B25" i="6"/>
  <c r="D1" i="6" s="1"/>
  <c r="C24" i="3"/>
  <c r="D1" i="3" s="1"/>
  <c r="B20" i="7"/>
  <c r="D1" i="7"/>
  <c r="D1" i="4"/>
  <c r="D14" i="10"/>
  <c r="C6" i="10"/>
  <c r="D2" i="4"/>
  <c r="B22" i="5" l="1"/>
  <c r="E14" i="10" s="1"/>
  <c r="B18" i="8"/>
  <c r="H14" i="10" s="1"/>
  <c r="D1" i="9"/>
  <c r="B27" i="6"/>
  <c r="C8" i="10" s="1"/>
  <c r="C26" i="3"/>
  <c r="C14" i="10" s="1"/>
  <c r="D2" i="9"/>
  <c r="I14" i="10"/>
  <c r="C11" i="10"/>
  <c r="G14" i="10"/>
  <c r="C9" i="10"/>
  <c r="D2" i="7"/>
  <c r="C7" i="10" l="1"/>
  <c r="D2" i="5"/>
  <c r="D2" i="8"/>
  <c r="C10" i="10"/>
  <c r="D2" i="6"/>
  <c r="F14" i="10"/>
  <c r="C5" i="10"/>
  <c r="D2" i="3"/>
  <c r="G8" i="2"/>
</calcChain>
</file>

<file path=xl/sharedStrings.xml><?xml version="1.0" encoding="utf-8"?>
<sst xmlns="http://schemas.openxmlformats.org/spreadsheetml/2006/main" count="574" uniqueCount="245">
  <si>
    <t>Informations de contexte</t>
  </si>
  <si>
    <t>Équipements</t>
  </si>
  <si>
    <t>Équipements particuliers :</t>
  </si>
  <si>
    <t>Maintenance des équipements (maintien en condition opérationnelle) par la collectivité :</t>
  </si>
  <si>
    <t>Infrastructures</t>
  </si>
  <si>
    <t>Débit d'accès à internet :</t>
  </si>
  <si>
    <t>Débit du réseau interne :</t>
  </si>
  <si>
    <t>Évaluation de la qualité du débit internet par rapport aux besoins :</t>
  </si>
  <si>
    <t>Évaluation de la qualité du débit du réseau interne par rapport aux besoins :</t>
  </si>
  <si>
    <t>Réseau pédagogique :</t>
  </si>
  <si>
    <t>Pare-feu</t>
  </si>
  <si>
    <t>Antivirus</t>
  </si>
  <si>
    <t>Filtrage</t>
  </si>
  <si>
    <t>Contrôle a posteriori des accès</t>
  </si>
  <si>
    <t>Évaluation de la couverture du réseau WiFi par rapport aux besoins :</t>
  </si>
  <si>
    <t>Possibilité pour les utilisateurs de recharger les équipements mobiles :</t>
  </si>
  <si>
    <t>Services</t>
  </si>
  <si>
    <t>Si oui :</t>
  </si>
  <si>
    <t>Déploiement à tous les utilisateurs :</t>
  </si>
  <si>
    <t>Déploiement de tous les services :</t>
  </si>
  <si>
    <t>Notes, absences, emploi du temps :</t>
  </si>
  <si>
    <t>LSUN - Livret Scolaire Unique Numérique :
LPC - Livret Personnel de Compétences :</t>
  </si>
  <si>
    <t>Service de réservation de ressources :</t>
  </si>
  <si>
    <t>Abonnements à des services d'information et de documentation en ligne :</t>
  </si>
  <si>
    <t>Abonnements à des ressources numériques pédagogiques éditoriales :</t>
  </si>
  <si>
    <t>Suivi statistique des taux d'utilisation des équipements et des services :</t>
  </si>
  <si>
    <t>Mise en place et suivi des "Services en Ligne" :</t>
  </si>
  <si>
    <t>Formation</t>
  </si>
  <si>
    <t>Animations ponctuelles autour des usages du numérique par un référent numérique (personne ressource) dans l'établissement (au cours des trois dernières années) :</t>
  </si>
  <si>
    <t>Utilisations</t>
  </si>
  <si>
    <t>Taux de réservation des salles informatiques :</t>
  </si>
  <si>
    <t>Taux de réservation des classes mobiles :</t>
  </si>
  <si>
    <t>Usages</t>
  </si>
  <si>
    <t>Usages du numérique à des fins de personnalisation des parcours et d'individualisation des enseignements :</t>
  </si>
  <si>
    <t>Points :</t>
  </si>
  <si>
    <t>Palier:</t>
  </si>
  <si>
    <t>Critères d'évaluation</t>
  </si>
  <si>
    <t>Valeur de l'indicateur</t>
  </si>
  <si>
    <t>Coefficient</t>
  </si>
  <si>
    <t>Nombre de points du critère</t>
  </si>
  <si>
    <t>Maximum possible</t>
  </si>
  <si>
    <t>+</t>
  </si>
  <si>
    <t>Aucune</t>
  </si>
  <si>
    <t>Une classe</t>
  </si>
  <si>
    <t>Plusieurs classes</t>
  </si>
  <si>
    <t>Toutes les classes</t>
  </si>
  <si>
    <t>Non</t>
  </si>
  <si>
    <t>Oui</t>
  </si>
  <si>
    <t>Oui, insuffisamment</t>
  </si>
  <si>
    <t>Nombre total de points du domaine "équipements" :</t>
  </si>
  <si>
    <t>Palier du domaine "équipements" :</t>
  </si>
  <si>
    <t>sur 10</t>
  </si>
  <si>
    <t>Moins de 2 Mbit/s</t>
  </si>
  <si>
    <t>Strictement plus de 2 et moins de 10 Mbit/s</t>
  </si>
  <si>
    <t>Strictement plus de 20 Mbit/s</t>
  </si>
  <si>
    <t>Moins de 100 Mbit/s</t>
  </si>
  <si>
    <t>Strictement plus de 100 et moins de 1000 Mbit/s</t>
  </si>
  <si>
    <t>Strictement plus de 1000 Mbit/s</t>
  </si>
  <si>
    <t>Insuffisante</t>
  </si>
  <si>
    <t>Suffisante</t>
  </si>
  <si>
    <t>Non réalisée</t>
  </si>
  <si>
    <t>-</t>
  </si>
  <si>
    <t>Aucun</t>
  </si>
  <si>
    <t>Strictement moins d'un quart</t>
  </si>
  <si>
    <t>Entre un quart et la moitié</t>
  </si>
  <si>
    <t>Strictement plus de la moitié</t>
  </si>
  <si>
    <t>Proportion de salles d'enseignement couvertes par un réseau WiFi</t>
  </si>
  <si>
    <t>Oui, partiellement</t>
  </si>
  <si>
    <t>Oui, suffisamment et en libre accès</t>
  </si>
  <si>
    <t>Nombre total de points du domaine "infrastructures" :</t>
  </si>
  <si>
    <t>Palier du domaine "infrastructures" :</t>
  </si>
  <si>
    <t>Éditeur privé</t>
  </si>
  <si>
    <t>Intégrés à l'ENT</t>
  </si>
  <si>
    <t>Pas de messagerie interne</t>
  </si>
  <si>
    <t>Intégrée dans le réseau pédagogique local ou via des outils dédiés</t>
  </si>
  <si>
    <t>Intégrée à l'ENT</t>
  </si>
  <si>
    <t>Réservé à l'équipe pédagogique et de direction</t>
  </si>
  <si>
    <t>Ouvert à la communauté éducative</t>
  </si>
  <si>
    <t>Entre 1 et 4</t>
  </si>
  <si>
    <t>Entre 5 et 9</t>
  </si>
  <si>
    <t>Plus de 10</t>
  </si>
  <si>
    <t>Nombre total de points du domaine "services" :</t>
  </si>
  <si>
    <t>Palier du domaine "services" :</t>
  </si>
  <si>
    <t>Oui, signée par une partie des usagers</t>
  </si>
  <si>
    <t>Oui, signée par tous les usagers</t>
  </si>
  <si>
    <t>Réunion annuelle</t>
  </si>
  <si>
    <t>En projet</t>
  </si>
  <si>
    <t>Partiellement mise en place</t>
  </si>
  <si>
    <t>Totalement mise en place</t>
  </si>
  <si>
    <t>Ordinateurs portables, tablettes et smartphones</t>
  </si>
  <si>
    <t>Oui, suivi global</t>
  </si>
  <si>
    <t>Oui, suivi fin</t>
  </si>
  <si>
    <t>Rares</t>
  </si>
  <si>
    <t>Limités</t>
  </si>
  <si>
    <t>Généralisés</t>
  </si>
  <si>
    <t>Oui, aux deux aspects</t>
  </si>
  <si>
    <t>Au moins une fois au cours des trois dernières années</t>
  </si>
  <si>
    <t>Au moins une fois par an</t>
  </si>
  <si>
    <t>Au moins deux fois par an</t>
  </si>
  <si>
    <t>Aucun ou presque</t>
  </si>
  <si>
    <t>Plus de la moitié</t>
  </si>
  <si>
    <t>Nombre total de points du domaine "formation" :</t>
  </si>
  <si>
    <t>Palier du domaine "formation" :</t>
  </si>
  <si>
    <t>Inconnu</t>
  </si>
  <si>
    <t>Strictement moins de 50%</t>
  </si>
  <si>
    <t>Plus de 50%</t>
  </si>
  <si>
    <t>Inconnue</t>
  </si>
  <si>
    <t>Nombre total de points du domaine "utilisations" :</t>
  </si>
  <si>
    <t>Palier du domaine "utilisations" :</t>
  </si>
  <si>
    <t>Strictement moins de 25%</t>
  </si>
  <si>
    <t>Plus de 25% et strictement moins de 50%</t>
  </si>
  <si>
    <t>Plus de 50% et strictement moins de 75%</t>
  </si>
  <si>
    <t>Plus de 75%</t>
  </si>
  <si>
    <t>Plus de 50% et strictement moins de 100%</t>
  </si>
  <si>
    <t>Cent pour cent</t>
  </si>
  <si>
    <t>Oui, occasionnellement</t>
  </si>
  <si>
    <t>Oui, régulièrement</t>
  </si>
  <si>
    <t>Pas d'ENT</t>
  </si>
  <si>
    <t>Limités et exclusivement en LVE</t>
  </si>
  <si>
    <t>Limités et pas seulement en LVE</t>
  </si>
  <si>
    <t>Généralisés mais exclusivement en LVE</t>
  </si>
  <si>
    <t>Généralisés et pas seulement en LVE</t>
  </si>
  <si>
    <t>Nombre total de points du domaine "usages" :</t>
  </si>
  <si>
    <t>Palier du domaine "usages" :</t>
  </si>
  <si>
    <t>Résumé :</t>
  </si>
  <si>
    <t>Équipements :</t>
  </si>
  <si>
    <t xml:space="preserve">Palier </t>
  </si>
  <si>
    <t>Infrastructures :</t>
  </si>
  <si>
    <t>Services :</t>
  </si>
  <si>
    <t>Formation :</t>
  </si>
  <si>
    <t>Utilisations :</t>
  </si>
  <si>
    <t>Usages :</t>
  </si>
  <si>
    <t>UAI</t>
  </si>
  <si>
    <t>Nom du collège</t>
  </si>
  <si>
    <t>Folios (parcours) ou e-portfolio de type Mahara :</t>
  </si>
  <si>
    <t>Démarche "zéro papier inutile" et "zéro mail inutile" :</t>
  </si>
  <si>
    <t>Messagerie interne (y compris SMS ou mail aux familles)  :</t>
  </si>
  <si>
    <t>Proportion de salles avec au moins un accès réseau</t>
  </si>
  <si>
    <t>Ordinateurs portables et tablettes</t>
  </si>
  <si>
    <t>Nombre de terminaux (ordinateur fixe, ordinateur portable, tablette) de moins de cinq ans :</t>
  </si>
  <si>
    <t>Labo de langues</t>
  </si>
  <si>
    <t>Mallette MP3/MP4, baladodiffusion</t>
  </si>
  <si>
    <t>Drone, simulateur, objets connectés</t>
  </si>
  <si>
    <t>Appareil photo numérique, caméra, montage vidéo</t>
  </si>
  <si>
    <t>Fablabs, imprimante 3D</t>
  </si>
  <si>
    <t>Dispositif de visioconférence</t>
  </si>
  <si>
    <t>L'établissement engage-t-il des moyens propres (budget, décharge, indemnité etc.) sur la maintenance quotidienne des équipements ?</t>
  </si>
  <si>
    <t>Par d'autres opérateurs</t>
  </si>
  <si>
    <t>Équipements numériques utilisés régulièrement par des personnes extérieures à l'établissement (amphithéâtre, salle spécialisée, fablab…) :</t>
  </si>
  <si>
    <t>Proportion de manuels scolaires numériques dans l'établissement par rapport aux manuels papiers :</t>
  </si>
  <si>
    <t>Utilisation d'outils et de ressources numériques pour le développement de la pratique de l'oral (baladodiffusion, labo de langues, etc.) :</t>
  </si>
  <si>
    <t>Nombre total de salles dédiées à l'enseignement et aux apprentissages :</t>
  </si>
  <si>
    <t>Visualisateur (caméra permettant de visualiser sur un écran une page de manuel scolaire ou une expérience par exemple)</t>
  </si>
  <si>
    <t>Proportion des espaces (hors salle de classe) couverts par WiFi avec un portail captif :</t>
  </si>
  <si>
    <t>Aucun ou rares</t>
  </si>
  <si>
    <t>Unité Administrative Immatriculée UAI de l'établissement :</t>
  </si>
  <si>
    <t>Identification dans l'établissement d'une personne chargée de la veille sur le numérique éducatif, de son organisation et de sa diffusion ciblée :</t>
  </si>
  <si>
    <t xml:space="preserve">Strictement moins de la moitié </t>
  </si>
  <si>
    <t>Organisation, gestion et suivi</t>
  </si>
  <si>
    <t>Utilisation d'indemnités (activités TIM, décharge horaire) pour favoriser les usages numériques :</t>
  </si>
  <si>
    <t>Commission numérique, commission TIM et commission CDI et/ou toute autre instance traitant des sujets numériques :</t>
  </si>
  <si>
    <t>Usages du numérique dans le cadre de la liaison entre les collèges et le lycée, le lycée et l'enseignement supérieur/le monde professionnel (folios -parcours-) :</t>
  </si>
  <si>
    <t>Rarement visités</t>
  </si>
  <si>
    <t>Régulièrement visités</t>
  </si>
  <si>
    <t>Fréquentation du site public de l'établissement et des comptes sur des réseaux sociaux numériques RSN de l'établissement :</t>
  </si>
  <si>
    <t>Strictement moins de 10% du budget</t>
  </si>
  <si>
    <t>50% ou plus du budget</t>
  </si>
  <si>
    <t>Proportion du budget de l'établissement alloué à l'acquisition de ressources numériques en pédagogie ou en formation :</t>
  </si>
  <si>
    <t>Usage du numérique par l'équipe de direction et l'équipe administrative respectant la charte des temps :</t>
  </si>
  <si>
    <t>Avec les moyens de l'établissement (professeur TIM, professeur-documentaliste, personnel référent, etc.)</t>
  </si>
  <si>
    <t>Par l'autorité académique</t>
  </si>
  <si>
    <t>Actions d’information et d’accompagnement à la transition numérique adaptées aux besoins des usagers :</t>
  </si>
  <si>
    <t>Assistance aux usagers adaptée à leurs besoins :</t>
  </si>
  <si>
    <t>Formation au pilotage de la transition numérique et/ou aux aspects juridiques d'un ou de plusieurs membres de l'équipe de direction (au cours des trois dernières années) :</t>
  </si>
  <si>
    <t>Formation à la transition numérique d'un ou de plusieurs membres du personnel de vie scolaire (au cours des trois dernières années) :</t>
  </si>
  <si>
    <t>Formation à la transition numérique d'un ou de plusieurs membres du personnel administratif et/ou technique (au cours des trois dernières années) :</t>
  </si>
  <si>
    <t>Proportion de responsables légaux consultant les services de vie scolaire et de suivi de la scolarité au moins une fois par semaine :</t>
  </si>
  <si>
    <t>Usages d'une messagerie institutionnelle (nationale, d'établissement ou dans l'ENT/l’ENE ou le RSC) pour les échanges professionnels :</t>
  </si>
  <si>
    <t>ENT - Espace Numérique de Travail - ENE - Espace Numérique Educatif - RSC - Réseau Social Collaboratif</t>
  </si>
  <si>
    <t>Usages d'espaces en ligne de stockage ou de partage de documents pédagogiques :</t>
  </si>
  <si>
    <t>Usages de services numériques de suivi de la maîtrise des compétences (ex : LPC, LSUN), du suivi des périodes de formation en entreprise, e-portfolio, etc. :</t>
  </si>
  <si>
    <t>Nombre d'élèves :</t>
  </si>
  <si>
    <t>Nombre de professeurs :</t>
  </si>
  <si>
    <t>Dotation des professeurs en terminaux mobiles (ordinateur portable, tablette) par la collectivité :</t>
  </si>
  <si>
    <t>Équipements numériques personnels des professeurs acceptés sur le réseau filaire ou wifi de l'établissement :</t>
  </si>
  <si>
    <t>Équipements numériques personnels des élèves (pour des usages pédagogiques) acceptés sur le réseau filaire ou wifi de l'établissement :</t>
  </si>
  <si>
    <t>Proportion de professeurs ayant suivi une formation (formation continue, Acoustice, M@gistère, MOOC...) aux usages pédagogiques du numérique (au cours des trois dernières années) :</t>
  </si>
  <si>
    <t>Proportion de professeurs mutualisant leurs pratiques du numérique et/ou collaborant via un ou des réseau(x) numérique(s) :</t>
  </si>
  <si>
    <t>Formation organisée par l'établissement à destination des élèves et des responsables légaux sur les usages des services numériques proposés par l’établissement :</t>
  </si>
  <si>
    <t>Participation (au cours des trois dernières années) des élèves et des responsables légaux à la rédaction de la charte d'utilisation des services numériques en fonction de l’ évolution des services proposés et de la législation ex. RGPD :</t>
  </si>
  <si>
    <t>Proportion de professeurs utilisant régulièrement des VPI/TNI/TBI, écrans interactifs, écrans vidéo :</t>
  </si>
  <si>
    <t>Proportion de professeurs remplissant le service de notes après chaque évaluation pour favoriser le suivi régulier des apprenants :</t>
  </si>
  <si>
    <t>Proportion d'élèves se connectant chaque jour aux ressources pédagogiques de l'établissement :</t>
  </si>
  <si>
    <t>Proportion de professeurs développant des usages pédagogiques du numérique en classe avec les élèves :</t>
  </si>
  <si>
    <t>Usages de services et ressources pédagogiques numériques institutionnels (portail documentaire de l’établissement, portail national documentaire de l'enseignement agricole renadocagri.fr, EducagriNet, Eduthèque, BRNE, ETINCEL, Fondamentaux, etc.) :</t>
  </si>
  <si>
    <t>Usages d'outils numériques pour des pratiques collaboratives entre professeurs :</t>
  </si>
  <si>
    <t>Usages d'outils numériques pour des pratiques collaboratives des professeurs avec leurs élèves :</t>
  </si>
  <si>
    <t>Il faut entendre par professeurs, également les formateurs et les moniteurs.</t>
  </si>
  <si>
    <t>Il faut entendre par élèves, également les étudiants, les apprentis, les apprenants.</t>
  </si>
  <si>
    <t>Nombre de points associés aux valeurs</t>
  </si>
  <si>
    <t>Valeurs retenues</t>
  </si>
  <si>
    <t>Échanges entre la direction et les inspecteurs sur les enjeux de la transition numérique :</t>
  </si>
  <si>
    <t>Formation des professeurs aux usages pédagogiques du numérique sur site  (au cours des trois dernières années) :</t>
  </si>
  <si>
    <t>Usages de la messagerie de l'ENT/l’ENE ou du RSC pour les échanges des professeurs avec les responsables légaux et les partenaires :</t>
  </si>
  <si>
    <t>Usages connus et validés par le directeur de la création d’adresses mails, de sites, de blogs, de comptes sur les réseaux sociaux… pour des activités pédagogiques mises en œuvre par les professeurs avec les élèves :</t>
  </si>
  <si>
    <t>Création de médias numériques (journal, radio, vidéo, exposition numérique) - connue et validée par le directeur :</t>
  </si>
  <si>
    <t>Usages des réseaux sociaux numériques RSN dans le cadre pédagogique connus et validés par le directeur :</t>
  </si>
  <si>
    <t>Nombre de terminaux mobiles (ordinateur portable, tablette, poste de classe mobile, smartphone) utilisé en pédagogie :</t>
  </si>
  <si>
    <t>Nombre de VPI/TNI/TBI (vidéoprojecteur interactif, tableau numérique interactif, tableau blanc interactif), écran interactif :</t>
  </si>
  <si>
    <t>Nombre de salles avec au moins un accès réseau :</t>
  </si>
  <si>
    <t>Inexistante sur le site public et sur les comptes de l’établissement sur les RSN</t>
  </si>
  <si>
    <t>Oui, au pilotage de la transition numérique</t>
  </si>
  <si>
    <t>Quelques élèves</t>
  </si>
  <si>
    <t>Quelques professeurs</t>
  </si>
  <si>
    <t>Tous les professeurs</t>
  </si>
  <si>
    <t>Oui, aux aspects juridiques</t>
  </si>
  <si>
    <t>Site web hébergé à l'extérieur (hors ENT) chez un hébergeur privé et présence sur au moins un RSN</t>
  </si>
  <si>
    <t>Plus de 10% et strictement moins 25% du budget</t>
  </si>
  <si>
    <t>Nombre de postes de travail en accès libre aux élèves en dehors des cours (hors classe) :</t>
  </si>
  <si>
    <t>Dotation des élèves en terminaux mobiles (ordinateur portable, tablette) par la collectivité :</t>
  </si>
  <si>
    <t>Appel dématérialisé des élèves au début de l'heure de cours  :</t>
  </si>
  <si>
    <t>Actions d'information et de sensibilisation aux usages responsables du numérique et à l'éducation aux médias et à l'information (EMI) à destination des professeurs (au cours des trois derrnières années) :</t>
  </si>
  <si>
    <t>Proportion de professeurs remplissant le cahier de textes ou le cahier de liaison numérique chaque semaine :</t>
  </si>
  <si>
    <t>Plusieurs réunions par année scolaire</t>
  </si>
  <si>
    <t>Charte d'usage du système d'information actualisée régulièrement en fonction de l’évolution des services et de la législation :</t>
  </si>
  <si>
    <t>Personnel(s) référent(s) pour les usages pédagogiques et éducatifs du numérique :</t>
  </si>
  <si>
    <t>Oui, il y a un référent identifié (compétences technico-pédagogiques)</t>
  </si>
  <si>
    <t>Oui, il y a une équipe de référents en charge de ce sujet</t>
  </si>
  <si>
    <t>Politique de sécurité des systèmes d’information PSSI définie et mise en œuvre :</t>
  </si>
  <si>
    <t>Site web hébergé dans l'établissement ou sur des serveurs institutionnels et présence sur les RSN</t>
  </si>
  <si>
    <t>Site web intégré à l'ENT et présence sur les RSN</t>
  </si>
  <si>
    <t>Site web de communication de l'établissement conforme au Référentiel Général d'Accessibilité des Administrations RGAA et présence de l'établissement sur les principaux réseaux sociaux RSN :</t>
  </si>
  <si>
    <t>Nombre total de terminaux disponibles pour un usage pédagogique :</t>
  </si>
  <si>
    <t>LIEN VERS LE GUIDE D'UTILISATION SUR LE SITE CHLOROFIL</t>
  </si>
  <si>
    <t>Organisation, gestion et suivi :</t>
  </si>
  <si>
    <t>Nombre total de points du domaine "organisation, gestion et suivi" :</t>
  </si>
  <si>
    <t>Palier du domaine "organisation, gestion et suivi" :</t>
  </si>
  <si>
    <t>Nombre de salles d'enseignement et d'apprentissage couvertes par un réseau WiFi :</t>
  </si>
  <si>
    <t>Feuille de route de la transition numérique formalisée et mise en œuvre ex. classeur NumEA-Etablissement :</t>
  </si>
  <si>
    <t>Ce classeur a été initialement conçu par la Direction du Numérique pour l'Education DNE sous le nom OPINEE Outil de Pilotage du Numérique pour les Ecoles et les Etablissements. La DGER a obtenu l'autorisation de la DNE pour l'adapter à l'Enseignement Agricole dans le cadre du plan NumEA. Ce classeur est dénommé OPINEA. La version 2 est la version en vigueur à partir de juin 2020.</t>
  </si>
  <si>
    <t>Nombre de vidéoprojecteurs, d'écrans vidéo :</t>
  </si>
  <si>
    <t>Nom de l'établissement :</t>
  </si>
  <si>
    <t>Etablissement</t>
  </si>
  <si>
    <t>0050094Z</t>
  </si>
  <si>
    <t>Strictement plus de 10 Mbit/s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</si>
</sst>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rgb="FF000000"/>
      <name val="Calibri"/>
      <family val="2"/>
      <charset val="1"/>
    </font>
    <font>
      <b/>
      <sz val="20"/>
      <color rgb="FF000000"/>
      <name val="Calibri"/>
      <family val="2"/>
      <charset val="1"/>
    </font>
    <font>
      <b/>
      <sz val="14"/>
      <color rgb="FF000000"/>
      <name val="Calibri"/>
      <family val="2"/>
      <charset val="1"/>
    </font>
    <font>
      <b/>
      <sz val="12"/>
      <color rgb="FF000000"/>
      <name val="Calibri"/>
      <family val="2"/>
      <charset val="1"/>
    </font>
    <font>
      <b/>
      <sz val="8"/>
      <color rgb="FF000000"/>
      <name val="Calibri"/>
      <family val="2"/>
      <charset val="1"/>
    </font>
    <font>
      <b/>
      <sz val="11"/>
      <color rgb="FF000000"/>
      <name val="Calibri"/>
      <family val="2"/>
      <charset val="1"/>
    </font>
    <font>
      <b/>
      <sz val="18"/>
      <color rgb="FF000000"/>
      <name val="Calibri"/>
      <family val="2"/>
      <charset val="1"/>
    </font>
    <font>
      <b/>
      <sz val="18"/>
      <name val="Calibri"/>
      <family val="2"/>
      <charset val="1"/>
    </font>
    <font>
      <b/>
      <sz val="26"/>
      <color rgb="FF000000"/>
      <name val="Calibri"/>
      <family val="2"/>
      <charset val="1"/>
    </font>
    <font>
      <sz val="11"/>
      <color rgb="FFFFFFFF"/>
      <name val="Calibri"/>
      <family val="2"/>
      <charset val="1"/>
    </font>
    <font>
      <b/>
      <sz val="20"/>
      <name val="Calibri"/>
      <family val="2"/>
      <charset val="1"/>
    </font>
    <font>
      <sz val="11"/>
      <name val="Calibri"/>
      <family val="2"/>
      <charset val="1"/>
    </font>
    <font>
      <sz val="11"/>
      <color rgb="FF9C0006"/>
      <name val="Calibri"/>
      <family val="2"/>
      <scheme val="minor"/>
    </font>
    <font>
      <sz val="11"/>
      <color rgb="FF9C5700"/>
      <name val="Calibri"/>
      <family val="2"/>
      <scheme val="minor"/>
    </font>
    <font>
      <sz val="11"/>
      <name val="Calibri"/>
      <family val="2"/>
    </font>
    <font>
      <b/>
      <sz val="14"/>
      <name val="Calibri"/>
      <family val="2"/>
    </font>
    <font>
      <b/>
      <sz val="11"/>
      <name val="Calibri"/>
      <family val="2"/>
      <charset val="1"/>
    </font>
    <font>
      <sz val="11"/>
      <color rgb="FF000000"/>
      <name val="Calibri"/>
      <family val="2"/>
    </font>
    <font>
      <b/>
      <sz val="14"/>
      <color rgb="FF0070C0"/>
      <name val="Calibri"/>
      <family val="2"/>
    </font>
    <font>
      <u/>
      <sz val="11"/>
      <color theme="10"/>
      <name val="Calibri"/>
      <family val="2"/>
      <charset val="1"/>
    </font>
    <font>
      <b/>
      <u/>
      <sz val="11"/>
      <color theme="10"/>
      <name val="Calibri"/>
      <family val="2"/>
    </font>
  </fonts>
  <fills count="12">
    <fill>
      <patternFill patternType="none"/>
    </fill>
    <fill>
      <patternFill patternType="gray125"/>
    </fill>
    <fill>
      <patternFill patternType="solid">
        <fgColor rgb="FFFFFF00"/>
        <bgColor rgb="FFFFFF00"/>
      </patternFill>
    </fill>
    <fill>
      <patternFill patternType="solid">
        <fgColor rgb="FFF2F2F2"/>
        <bgColor rgb="FFFFFFFF"/>
      </patternFill>
    </fill>
    <fill>
      <patternFill patternType="solid">
        <fgColor rgb="FFD9D9D9"/>
        <bgColor rgb="FFC0C0C0"/>
      </patternFill>
    </fill>
    <fill>
      <patternFill patternType="solid">
        <fgColor rgb="FF3BE568"/>
        <bgColor rgb="FF00FF00"/>
      </patternFill>
    </fill>
    <fill>
      <patternFill patternType="solid">
        <fgColor rgb="FF6C6C6D"/>
        <bgColor rgb="FF535353"/>
      </patternFill>
    </fill>
    <fill>
      <patternFill patternType="solid">
        <fgColor rgb="FF535353"/>
        <bgColor rgb="FF6C6C6D"/>
      </patternFill>
    </fill>
    <fill>
      <patternFill patternType="solid">
        <fgColor rgb="FF00B050"/>
        <bgColor rgb="FF008080"/>
      </patternFill>
    </fill>
    <fill>
      <patternFill patternType="solid">
        <fgColor rgb="FFFFC7CE"/>
      </patternFill>
    </fill>
    <fill>
      <patternFill patternType="solid">
        <fgColor rgb="FFFFEB9C"/>
      </patternFill>
    </fill>
    <fill>
      <patternFill patternType="solid">
        <fgColor rgb="FFFFFF00"/>
        <bgColor indexed="64"/>
      </patternFill>
    </fill>
  </fills>
  <borders count="33">
    <border>
      <left/>
      <right/>
      <top/>
      <bottom/>
      <diagonal/>
    </border>
    <border>
      <left style="medium">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style="medium">
        <color auto="1"/>
      </right>
      <top/>
      <bottom style="medium">
        <color auto="1"/>
      </bottom>
      <diagonal/>
    </border>
    <border>
      <left/>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s>
  <cellStyleXfs count="4">
    <xf numFmtId="0" fontId="0" fillId="0" borderId="0"/>
    <xf numFmtId="0" fontId="12" fillId="9" borderId="0" applyNumberFormat="0" applyBorder="0" applyAlignment="0" applyProtection="0"/>
    <xf numFmtId="0" fontId="13" fillId="10" borderId="0" applyNumberFormat="0" applyBorder="0" applyAlignment="0" applyProtection="0"/>
    <xf numFmtId="0" fontId="19" fillId="0" borderId="0" applyNumberFormat="0" applyFill="0" applyBorder="0" applyAlignment="0" applyProtection="0"/>
  </cellStyleXfs>
  <cellXfs count="168">
    <xf numFmtId="0" fontId="0" fillId="0" borderId="0" xfId="0"/>
    <xf numFmtId="0" fontId="0" fillId="0" borderId="0" xfId="0" applyAlignment="1">
      <alignment vertical="center" wrapText="1"/>
    </xf>
    <xf numFmtId="0" fontId="1" fillId="2" borderId="1" xfId="0" applyFont="1" applyFill="1" applyBorder="1" applyAlignment="1">
      <alignment horizontal="center" vertical="center" wrapText="1"/>
    </xf>
    <xf numFmtId="0" fontId="0" fillId="3" borderId="2" xfId="0" applyFont="1" applyFill="1" applyBorder="1" applyAlignment="1">
      <alignment vertical="center" wrapText="1"/>
    </xf>
    <xf numFmtId="0" fontId="0" fillId="4" borderId="4" xfId="0" applyFont="1" applyFill="1" applyBorder="1" applyAlignment="1">
      <alignment vertical="center" wrapText="1"/>
    </xf>
    <xf numFmtId="0" fontId="0" fillId="3" borderId="4" xfId="0" applyFont="1" applyFill="1" applyBorder="1" applyAlignment="1">
      <alignment vertical="center" wrapText="1"/>
    </xf>
    <xf numFmtId="0" fontId="0" fillId="3" borderId="6" xfId="0" applyFont="1" applyFill="1" applyBorder="1" applyAlignment="1">
      <alignment vertical="center" wrapText="1"/>
    </xf>
    <xf numFmtId="0" fontId="0" fillId="3" borderId="8" xfId="0" applyFont="1" applyFill="1" applyBorder="1" applyAlignment="1">
      <alignment vertical="center" wrapText="1"/>
    </xf>
    <xf numFmtId="0" fontId="0" fillId="4" borderId="8" xfId="0" applyFont="1" applyFill="1" applyBorder="1" applyAlignment="1">
      <alignment vertical="center" wrapText="1"/>
    </xf>
    <xf numFmtId="0" fontId="0" fillId="4" borderId="6" xfId="0" applyFont="1" applyFill="1" applyBorder="1" applyAlignment="1">
      <alignment vertical="center" wrapText="1"/>
    </xf>
    <xf numFmtId="0" fontId="0" fillId="4" borderId="5" xfId="0" applyFill="1" applyBorder="1" applyAlignment="1" applyProtection="1">
      <alignment vertical="center" wrapText="1"/>
      <protection locked="0"/>
    </xf>
    <xf numFmtId="0" fontId="0" fillId="3" borderId="5" xfId="0" applyFill="1" applyBorder="1" applyAlignment="1" applyProtection="1">
      <alignment vertical="center" wrapText="1"/>
      <protection locked="0"/>
    </xf>
    <xf numFmtId="0" fontId="0" fillId="3" borderId="9" xfId="0" applyFont="1" applyFill="1" applyBorder="1" applyAlignment="1">
      <alignment vertical="center" wrapText="1"/>
    </xf>
    <xf numFmtId="0" fontId="0" fillId="0" borderId="0" xfId="0" applyAlignment="1">
      <alignment horizontal="center" vertical="center" wrapText="1"/>
    </xf>
    <xf numFmtId="0" fontId="1" fillId="0" borderId="0" xfId="0" applyFont="1" applyBorder="1" applyAlignment="1">
      <alignment horizontal="center" vertical="center" wrapText="1"/>
    </xf>
    <xf numFmtId="0" fontId="2" fillId="2" borderId="11" xfId="0" applyFont="1" applyFill="1" applyBorder="1" applyAlignment="1">
      <alignment vertical="center" wrapText="1"/>
    </xf>
    <xf numFmtId="0" fontId="2" fillId="5" borderId="11" xfId="0" applyFont="1" applyFill="1" applyBorder="1" applyAlignment="1">
      <alignment vertical="center" wrapText="1"/>
    </xf>
    <xf numFmtId="0" fontId="3"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5" fillId="3" borderId="2" xfId="0" applyFont="1" applyFill="1" applyBorder="1" applyAlignment="1">
      <alignment vertical="center" wrapText="1"/>
    </xf>
    <xf numFmtId="2" fontId="0" fillId="3" borderId="16" xfId="0" applyNumberFormat="1" applyFill="1" applyBorder="1" applyAlignment="1">
      <alignment vertical="center" wrapText="1"/>
    </xf>
    <xf numFmtId="0" fontId="5" fillId="3" borderId="16" xfId="0" applyFont="1" applyFill="1" applyBorder="1" applyAlignment="1">
      <alignment vertical="center" wrapText="1"/>
    </xf>
    <xf numFmtId="0" fontId="6" fillId="0" borderId="16" xfId="0" applyFont="1" applyBorder="1" applyAlignment="1">
      <alignment horizontal="center" vertical="center" wrapText="1"/>
    </xf>
    <xf numFmtId="0" fontId="0" fillId="3" borderId="16" xfId="0" applyFill="1" applyBorder="1" applyAlignment="1">
      <alignment horizontal="center" vertical="center" wrapText="1"/>
    </xf>
    <xf numFmtId="0" fontId="6" fillId="3" borderId="16" xfId="0" applyFont="1" applyFill="1" applyBorder="1" applyAlignment="1">
      <alignment horizontal="center" vertical="center" wrapText="1"/>
    </xf>
    <xf numFmtId="0" fontId="0" fillId="3" borderId="3" xfId="0" applyFill="1" applyBorder="1" applyAlignment="1">
      <alignment horizontal="center" vertical="center" wrapText="1"/>
    </xf>
    <xf numFmtId="0" fontId="5" fillId="4" borderId="4" xfId="0" applyFont="1" applyFill="1" applyBorder="1" applyAlignment="1">
      <alignment vertical="center" wrapText="1"/>
    </xf>
    <xf numFmtId="2" fontId="0" fillId="4" borderId="8" xfId="0" applyNumberFormat="1" applyFill="1" applyBorder="1" applyAlignment="1">
      <alignment vertical="center" wrapText="1"/>
    </xf>
    <xf numFmtId="0" fontId="5" fillId="4" borderId="8" xfId="0" applyFont="1" applyFill="1" applyBorder="1" applyAlignment="1">
      <alignment vertical="center" wrapText="1"/>
    </xf>
    <xf numFmtId="0" fontId="6" fillId="4" borderId="8" xfId="0" applyFont="1" applyFill="1" applyBorder="1" applyAlignment="1">
      <alignment horizontal="center" vertical="center" wrapText="1"/>
    </xf>
    <xf numFmtId="0" fontId="0" fillId="4" borderId="8" xfId="0" applyFill="1" applyBorder="1" applyAlignment="1">
      <alignment horizontal="center" vertical="center" wrapText="1"/>
    </xf>
    <xf numFmtId="0" fontId="0" fillId="4" borderId="5" xfId="0" applyFill="1" applyBorder="1" applyAlignment="1">
      <alignment horizontal="center" vertical="center" wrapText="1"/>
    </xf>
    <xf numFmtId="0" fontId="5" fillId="3" borderId="4" xfId="0" applyFont="1" applyFill="1" applyBorder="1" applyAlignment="1">
      <alignment vertical="center" wrapText="1"/>
    </xf>
    <xf numFmtId="2" fontId="0" fillId="3" borderId="8" xfId="0" applyNumberFormat="1" applyFill="1" applyBorder="1" applyAlignment="1">
      <alignment vertical="center" wrapText="1"/>
    </xf>
    <xf numFmtId="0" fontId="5" fillId="3" borderId="8" xfId="0" applyFont="1" applyFill="1" applyBorder="1" applyAlignment="1">
      <alignment vertical="center" wrapText="1"/>
    </xf>
    <xf numFmtId="0" fontId="6" fillId="0" borderId="8" xfId="0" applyFont="1" applyBorder="1" applyAlignment="1">
      <alignment horizontal="center" vertical="center" wrapText="1"/>
    </xf>
    <xf numFmtId="0" fontId="0" fillId="3" borderId="8" xfId="0" applyFill="1" applyBorder="1" applyAlignment="1">
      <alignment horizontal="center" vertical="center" wrapText="1"/>
    </xf>
    <xf numFmtId="0" fontId="6" fillId="3" borderId="8" xfId="0" applyFont="1" applyFill="1" applyBorder="1" applyAlignment="1">
      <alignment horizontal="center" vertical="center" wrapText="1"/>
    </xf>
    <xf numFmtId="0" fontId="0" fillId="3" borderId="5" xfId="0" applyFill="1" applyBorder="1" applyAlignment="1">
      <alignment horizontal="center" vertical="center" wrapText="1"/>
    </xf>
    <xf numFmtId="10" fontId="0" fillId="4" borderId="8" xfId="0" applyNumberFormat="1" applyFill="1" applyBorder="1" applyAlignment="1">
      <alignment vertical="center" wrapText="1"/>
    </xf>
    <xf numFmtId="10" fontId="0" fillId="0" borderId="0" xfId="0" applyNumberFormat="1" applyAlignment="1">
      <alignment vertical="center" wrapText="1"/>
    </xf>
    <xf numFmtId="10" fontId="0" fillId="3" borderId="8" xfId="0" applyNumberFormat="1" applyFill="1" applyBorder="1" applyAlignment="1">
      <alignment vertical="center" wrapText="1"/>
    </xf>
    <xf numFmtId="0" fontId="5" fillId="3" borderId="6" xfId="0" applyFont="1" applyFill="1" applyBorder="1" applyAlignment="1">
      <alignment vertical="center" wrapText="1"/>
    </xf>
    <xf numFmtId="0" fontId="5" fillId="3" borderId="17" xfId="0" applyFont="1" applyFill="1" applyBorder="1" applyAlignment="1">
      <alignment vertical="center" wrapText="1"/>
    </xf>
    <xf numFmtId="0" fontId="0" fillId="3" borderId="17" xfId="0" applyFill="1" applyBorder="1" applyAlignment="1">
      <alignment horizontal="center" vertical="center" wrapText="1"/>
    </xf>
    <xf numFmtId="0" fontId="6" fillId="3" borderId="17" xfId="0" applyFont="1" applyFill="1" applyBorder="1" applyAlignment="1">
      <alignment horizontal="center" vertical="center" wrapText="1"/>
    </xf>
    <xf numFmtId="0" fontId="0" fillId="3" borderId="7" xfId="0" applyFill="1" applyBorder="1" applyAlignment="1">
      <alignment horizontal="center" vertical="center" wrapText="1"/>
    </xf>
    <xf numFmtId="0" fontId="2" fillId="2" borderId="18" xfId="0" applyFont="1" applyFill="1" applyBorder="1"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5" borderId="18" xfId="0" applyFont="1" applyFill="1" applyBorder="1" applyAlignment="1">
      <alignment vertical="center" wrapText="1"/>
    </xf>
    <xf numFmtId="10" fontId="0" fillId="3" borderId="16" xfId="0" applyNumberFormat="1" applyFill="1" applyBorder="1" applyAlignment="1">
      <alignment vertical="center" wrapText="1"/>
    </xf>
    <xf numFmtId="0" fontId="6" fillId="4" borderId="16" xfId="0" applyFont="1" applyFill="1" applyBorder="1" applyAlignment="1">
      <alignment horizontal="center" vertical="center" wrapText="1"/>
    </xf>
    <xf numFmtId="0" fontId="0" fillId="0" borderId="0" xfId="0" applyFont="1" applyAlignment="1">
      <alignment horizontal="left" vertical="center"/>
    </xf>
    <xf numFmtId="0" fontId="0" fillId="0" borderId="0" xfId="0" applyFont="1" applyAlignment="1">
      <alignment vertical="center" wrapText="1"/>
    </xf>
    <xf numFmtId="0" fontId="0" fillId="0" borderId="0" xfId="0" applyFont="1" applyAlignment="1">
      <alignment horizontal="left" vertical="center" wrapText="1"/>
    </xf>
    <xf numFmtId="0" fontId="5" fillId="4" borderId="6" xfId="0" applyFont="1" applyFill="1" applyBorder="1" applyAlignment="1">
      <alignment vertical="center" wrapText="1"/>
    </xf>
    <xf numFmtId="0" fontId="6" fillId="4" borderId="17" xfId="0" applyFont="1" applyFill="1" applyBorder="1" applyAlignment="1">
      <alignment horizontal="center" vertical="center" wrapText="1"/>
    </xf>
    <xf numFmtId="0" fontId="0" fillId="4" borderId="17" xfId="0" applyFill="1" applyBorder="1" applyAlignment="1">
      <alignment horizontal="center" vertical="center" wrapText="1"/>
    </xf>
    <xf numFmtId="0" fontId="0" fillId="4" borderId="7" xfId="0" applyFill="1" applyBorder="1" applyAlignment="1">
      <alignment horizontal="center" vertical="center" wrapText="1"/>
    </xf>
    <xf numFmtId="0" fontId="3" fillId="2" borderId="11" xfId="0" applyFont="1" applyFill="1" applyBorder="1" applyAlignment="1">
      <alignment vertical="center" wrapText="1"/>
    </xf>
    <xf numFmtId="0" fontId="3" fillId="2" borderId="18" xfId="0" applyFont="1" applyFill="1" applyBorder="1" applyAlignment="1">
      <alignment vertical="center" wrapText="1"/>
    </xf>
    <xf numFmtId="0" fontId="5" fillId="3" borderId="20" xfId="0" applyFont="1" applyFill="1" applyBorder="1" applyAlignment="1">
      <alignment vertical="center" wrapText="1"/>
    </xf>
    <xf numFmtId="0" fontId="6" fillId="7" borderId="20" xfId="0" applyFont="1" applyFill="1" applyBorder="1" applyAlignment="1">
      <alignment horizontal="center" vertical="center" wrapText="1"/>
    </xf>
    <xf numFmtId="0" fontId="0" fillId="3" borderId="20" xfId="0" applyFill="1" applyBorder="1" applyAlignment="1">
      <alignment horizontal="center" vertical="center" wrapText="1"/>
    </xf>
    <xf numFmtId="0" fontId="6" fillId="3" borderId="20" xfId="0" applyFont="1" applyFill="1" applyBorder="1" applyAlignment="1">
      <alignment horizontal="center" vertical="center" wrapText="1"/>
    </xf>
    <xf numFmtId="0" fontId="0" fillId="3" borderId="10" xfId="0" applyFill="1" applyBorder="1" applyAlignment="1">
      <alignment horizontal="center" vertical="center" wrapText="1"/>
    </xf>
    <xf numFmtId="0" fontId="5" fillId="4" borderId="16" xfId="0" applyFont="1" applyFill="1" applyBorder="1" applyAlignment="1">
      <alignment vertical="center" wrapText="1"/>
    </xf>
    <xf numFmtId="0" fontId="0" fillId="0" borderId="0" xfId="0" applyFont="1" applyBorder="1" applyAlignment="1">
      <alignment horizontal="left" vertical="center" wrapText="1"/>
    </xf>
    <xf numFmtId="0" fontId="0" fillId="0" borderId="0" xfId="0" applyFont="1" applyBorder="1" applyAlignment="1">
      <alignment wrapText="1"/>
    </xf>
    <xf numFmtId="0" fontId="0" fillId="0" borderId="0" xfId="0" applyBorder="1"/>
    <xf numFmtId="0" fontId="0" fillId="0" borderId="0" xfId="0" applyBorder="1" applyAlignment="1">
      <alignment vertical="center" wrapText="1"/>
    </xf>
    <xf numFmtId="0" fontId="0" fillId="0" borderId="0" xfId="0" applyBorder="1" applyAlignment="1">
      <alignment wrapText="1"/>
    </xf>
    <xf numFmtId="0" fontId="0" fillId="0" borderId="0" xfId="0" applyFont="1" applyBorder="1" applyAlignment="1">
      <alignment vertical="center" wrapText="1"/>
    </xf>
    <xf numFmtId="0" fontId="3" fillId="2" borderId="2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5" fillId="3" borderId="9" xfId="0" applyFont="1" applyFill="1" applyBorder="1" applyAlignment="1">
      <alignment vertical="center" wrapText="1"/>
    </xf>
    <xf numFmtId="0" fontId="0" fillId="0" borderId="0" xfId="0" applyFont="1" applyAlignment="1">
      <alignment wrapText="1"/>
    </xf>
    <xf numFmtId="0" fontId="7" fillId="3" borderId="8" xfId="0" applyFont="1" applyFill="1" applyBorder="1" applyAlignment="1">
      <alignment horizontal="center" vertical="center" wrapText="1"/>
    </xf>
    <xf numFmtId="0" fontId="0" fillId="0" borderId="0" xfId="0" applyAlignment="1" applyProtection="1">
      <alignment vertical="center" wrapText="1"/>
    </xf>
    <xf numFmtId="0" fontId="9" fillId="0" borderId="0" xfId="0" applyFont="1" applyAlignment="1" applyProtection="1">
      <alignment vertical="center" wrapText="1"/>
    </xf>
    <xf numFmtId="0" fontId="1" fillId="3" borderId="25" xfId="0" applyFont="1" applyFill="1" applyBorder="1" applyAlignment="1" applyProtection="1">
      <alignment vertical="center" wrapText="1"/>
    </xf>
    <xf numFmtId="0" fontId="1" fillId="3" borderId="1" xfId="0" applyFont="1" applyFill="1" applyBorder="1" applyAlignment="1" applyProtection="1">
      <alignment vertical="center" wrapText="1"/>
    </xf>
    <xf numFmtId="0" fontId="1" fillId="3" borderId="18" xfId="0" applyFont="1" applyFill="1" applyBorder="1" applyAlignment="1" applyProtection="1">
      <alignment horizontal="center" vertical="center" wrapText="1"/>
    </xf>
    <xf numFmtId="0" fontId="10" fillId="3" borderId="1" xfId="0" applyFont="1" applyFill="1" applyBorder="1" applyAlignment="1" applyProtection="1">
      <alignment horizontal="center" vertical="center" wrapText="1"/>
    </xf>
    <xf numFmtId="0" fontId="11" fillId="0" borderId="0" xfId="0" applyFont="1" applyAlignment="1" applyProtection="1">
      <alignment vertical="center" wrapText="1"/>
    </xf>
    <xf numFmtId="0" fontId="1" fillId="4" borderId="26" xfId="0" applyFont="1" applyFill="1" applyBorder="1" applyAlignment="1" applyProtection="1">
      <alignment vertical="center" wrapText="1"/>
    </xf>
    <xf numFmtId="0" fontId="1" fillId="4" borderId="1" xfId="0" applyFont="1" applyFill="1" applyBorder="1" applyAlignment="1" applyProtection="1">
      <alignment vertical="center" wrapText="1"/>
    </xf>
    <xf numFmtId="0" fontId="1" fillId="4" borderId="18" xfId="0" applyFont="1" applyFill="1" applyBorder="1" applyAlignment="1" applyProtection="1">
      <alignment horizontal="center" vertical="center" wrapText="1"/>
    </xf>
    <xf numFmtId="0" fontId="10" fillId="4" borderId="1" xfId="0" applyFont="1" applyFill="1" applyBorder="1" applyAlignment="1" applyProtection="1">
      <alignment horizontal="center" vertical="center" wrapText="1"/>
    </xf>
    <xf numFmtId="0" fontId="1" fillId="3" borderId="26" xfId="0" applyFont="1" applyFill="1" applyBorder="1" applyAlignment="1" applyProtection="1">
      <alignment vertical="center" wrapText="1"/>
    </xf>
    <xf numFmtId="0" fontId="1" fillId="3" borderId="27" xfId="0" applyFont="1" applyFill="1" applyBorder="1" applyAlignment="1" applyProtection="1">
      <alignment vertical="center" wrapText="1"/>
    </xf>
    <xf numFmtId="0" fontId="1" fillId="3" borderId="28" xfId="0" applyFont="1" applyFill="1" applyBorder="1" applyAlignment="1" applyProtection="1">
      <alignment vertical="center" wrapText="1"/>
    </xf>
    <xf numFmtId="0" fontId="1" fillId="3" borderId="29" xfId="0" applyFont="1" applyFill="1" applyBorder="1" applyAlignment="1" applyProtection="1">
      <alignment horizontal="center" vertical="center" wrapText="1"/>
    </xf>
    <xf numFmtId="0" fontId="10" fillId="3" borderId="28" xfId="0" applyFont="1" applyFill="1" applyBorder="1" applyAlignment="1" applyProtection="1">
      <alignment horizontal="center" vertical="center" wrapText="1"/>
    </xf>
    <xf numFmtId="0" fontId="6" fillId="4" borderId="8" xfId="0" applyFont="1" applyFill="1" applyBorder="1" applyAlignment="1">
      <alignment horizontal="center" vertical="center" wrapText="1"/>
    </xf>
    <xf numFmtId="0" fontId="0" fillId="0" borderId="0" xfId="0" applyAlignment="1">
      <alignment wrapText="1"/>
    </xf>
    <xf numFmtId="9" fontId="14" fillId="0" borderId="0" xfId="0" applyNumberFormat="1" applyFont="1" applyAlignment="1">
      <alignment wrapText="1"/>
    </xf>
    <xf numFmtId="0" fontId="11" fillId="0" borderId="0" xfId="0" applyFont="1"/>
    <xf numFmtId="0" fontId="15" fillId="0" borderId="0" xfId="0" applyFont="1" applyAlignment="1">
      <alignment wrapText="1"/>
    </xf>
    <xf numFmtId="0" fontId="5" fillId="4" borderId="4" xfId="0" applyFont="1" applyFill="1" applyBorder="1" applyAlignment="1">
      <alignment horizontal="left" vertical="center" wrapText="1"/>
    </xf>
    <xf numFmtId="0" fontId="5" fillId="3" borderId="4" xfId="0" applyFont="1" applyFill="1" applyBorder="1" applyAlignment="1">
      <alignment horizontal="left" vertical="center" wrapText="1"/>
    </xf>
    <xf numFmtId="0" fontId="16" fillId="3" borderId="4"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3" borderId="9" xfId="0" applyFont="1" applyFill="1" applyBorder="1" applyAlignment="1">
      <alignment horizontal="left" vertical="center" wrapText="1"/>
    </xf>
    <xf numFmtId="0" fontId="7" fillId="4" borderId="8" xfId="0" applyFont="1" applyFill="1" applyBorder="1" applyAlignment="1">
      <alignment horizontal="center" vertical="center" wrapText="1"/>
    </xf>
    <xf numFmtId="0" fontId="0" fillId="0" borderId="0" xfId="0" applyFill="1" applyAlignment="1">
      <alignment vertical="center" wrapText="1"/>
    </xf>
    <xf numFmtId="0" fontId="12" fillId="0" borderId="0" xfId="1" applyFill="1" applyAlignment="1">
      <alignment horizontal="center" vertical="center" wrapText="1"/>
    </xf>
    <xf numFmtId="0" fontId="0" fillId="0" borderId="0" xfId="0" applyFill="1" applyAlignment="1">
      <alignment horizontal="center" vertical="center" wrapText="1"/>
    </xf>
    <xf numFmtId="0" fontId="13" fillId="0" borderId="0" xfId="2" applyFill="1" applyAlignment="1">
      <alignment horizontal="center" vertical="center" wrapText="1"/>
    </xf>
    <xf numFmtId="0" fontId="13" fillId="0" borderId="0" xfId="2" applyFill="1" applyAlignment="1">
      <alignment vertical="center" wrapText="1"/>
    </xf>
    <xf numFmtId="0" fontId="17" fillId="0" borderId="0" xfId="0" applyFont="1" applyAlignment="1">
      <alignment wrapText="1"/>
    </xf>
    <xf numFmtId="0" fontId="18" fillId="0" borderId="0" xfId="0" applyFont="1"/>
    <xf numFmtId="0" fontId="6" fillId="4" borderId="8" xfId="0" applyFont="1" applyFill="1" applyBorder="1" applyAlignment="1">
      <alignment horizontal="center" vertical="center" wrapText="1"/>
    </xf>
    <xf numFmtId="0" fontId="20" fillId="11" borderId="0" xfId="3" applyFont="1" applyFill="1"/>
    <xf numFmtId="0" fontId="0" fillId="4" borderId="5" xfId="0" applyFill="1" applyBorder="1" applyAlignment="1" applyProtection="1">
      <alignment horizontal="center" vertical="center" wrapText="1"/>
      <protection locked="0"/>
    </xf>
    <xf numFmtId="0" fontId="0" fillId="3" borderId="5" xfId="0" applyFill="1" applyBorder="1" applyAlignment="1" applyProtection="1">
      <alignment horizontal="center" vertical="center" wrapText="1"/>
      <protection locked="0"/>
    </xf>
    <xf numFmtId="0" fontId="0" fillId="4" borderId="7" xfId="0" applyFill="1" applyBorder="1" applyAlignment="1" applyProtection="1">
      <alignment horizontal="center" vertical="center" wrapText="1"/>
      <protection locked="0"/>
    </xf>
    <xf numFmtId="9" fontId="0" fillId="3" borderId="5" xfId="0" applyNumberFormat="1" applyFill="1" applyBorder="1" applyAlignment="1" applyProtection="1">
      <alignment horizontal="center" vertical="center" wrapText="1"/>
      <protection locked="0"/>
    </xf>
    <xf numFmtId="0" fontId="0" fillId="3" borderId="7" xfId="0" applyFill="1" applyBorder="1" applyAlignment="1" applyProtection="1">
      <alignment horizontal="center" vertical="center" wrapText="1"/>
      <protection locked="0"/>
    </xf>
    <xf numFmtId="0" fontId="1" fillId="2" borderId="1" xfId="0" applyFont="1" applyFill="1" applyBorder="1" applyAlignment="1">
      <alignment horizontal="center" vertical="center" wrapText="1"/>
    </xf>
    <xf numFmtId="0" fontId="0" fillId="3" borderId="10" xfId="0" applyFill="1" applyBorder="1" applyAlignment="1" applyProtection="1">
      <alignment horizontal="center" vertical="center" wrapText="1"/>
      <protection locked="0"/>
    </xf>
    <xf numFmtId="0" fontId="0" fillId="3" borderId="4" xfId="0" applyFont="1" applyFill="1" applyBorder="1" applyAlignment="1">
      <alignment horizontal="center" vertical="center" wrapText="1"/>
    </xf>
    <xf numFmtId="0" fontId="0" fillId="4" borderId="4" xfId="0" applyFont="1" applyFill="1" applyBorder="1" applyAlignment="1">
      <alignment horizontal="center" vertical="center" wrapText="1"/>
    </xf>
    <xf numFmtId="0" fontId="0" fillId="4" borderId="30" xfId="0" applyFill="1" applyBorder="1" applyAlignment="1" applyProtection="1">
      <alignment horizontal="center" vertical="center" wrapText="1"/>
      <protection locked="0"/>
    </xf>
    <xf numFmtId="0" fontId="0" fillId="4" borderId="31" xfId="0" applyFill="1" applyBorder="1" applyAlignment="1" applyProtection="1">
      <alignment horizontal="center" vertical="center" wrapText="1"/>
      <protection locked="0"/>
    </xf>
    <xf numFmtId="0" fontId="0" fillId="4" borderId="32" xfId="0" applyFill="1" applyBorder="1" applyAlignment="1" applyProtection="1">
      <alignment horizontal="center" vertical="center" wrapText="1"/>
      <protection locked="0"/>
    </xf>
    <xf numFmtId="0" fontId="0" fillId="3" borderId="30" xfId="0" applyFill="1" applyBorder="1" applyAlignment="1" applyProtection="1">
      <alignment horizontal="center" vertical="center" wrapText="1"/>
      <protection locked="0"/>
    </xf>
    <xf numFmtId="0" fontId="0" fillId="3" borderId="31" xfId="0" applyFill="1" applyBorder="1" applyAlignment="1" applyProtection="1">
      <alignment horizontal="center" vertical="center" wrapText="1"/>
      <protection locked="0"/>
    </xf>
    <xf numFmtId="0" fontId="0" fillId="3" borderId="32" xfId="0" applyFill="1" applyBorder="1" applyAlignment="1" applyProtection="1">
      <alignment horizontal="center" vertical="center" wrapText="1"/>
      <protection locked="0"/>
    </xf>
    <xf numFmtId="1" fontId="0" fillId="4" borderId="5" xfId="0" applyNumberFormat="1" applyFill="1" applyBorder="1" applyAlignment="1" applyProtection="1">
      <alignment horizontal="center" vertical="center" wrapText="1"/>
      <protection locked="0"/>
    </xf>
    <xf numFmtId="0" fontId="0" fillId="3" borderId="9"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3" borderId="8" xfId="0" applyFont="1" applyFill="1" applyBorder="1" applyAlignment="1">
      <alignment horizontal="center" vertical="center" wrapText="1"/>
    </xf>
    <xf numFmtId="1" fontId="0" fillId="3" borderId="3" xfId="0" applyNumberFormat="1" applyFill="1" applyBorder="1" applyAlignment="1" applyProtection="1">
      <alignment horizontal="center" vertical="center" wrapText="1"/>
      <protection locked="0"/>
    </xf>
    <xf numFmtId="1" fontId="0" fillId="3" borderId="5" xfId="0" applyNumberFormat="1" applyFill="1" applyBorder="1" applyAlignment="1" applyProtection="1">
      <alignment horizontal="center" vertical="center" wrapText="1"/>
      <protection locked="0"/>
    </xf>
    <xf numFmtId="0" fontId="0" fillId="3" borderId="3" xfId="0" applyFont="1" applyFill="1" applyBorder="1" applyAlignment="1" applyProtection="1">
      <alignment horizontal="center" vertical="center" wrapText="1"/>
      <protection locked="0"/>
    </xf>
    <xf numFmtId="0" fontId="0" fillId="4" borderId="5" xfId="0" applyFont="1" applyFill="1" applyBorder="1" applyAlignment="1" applyProtection="1">
      <alignment horizontal="center" vertical="center" wrapText="1"/>
      <protection locked="0"/>
    </xf>
    <xf numFmtId="1" fontId="0" fillId="3" borderId="7" xfId="0" applyNumberFormat="1" applyFill="1" applyBorder="1" applyAlignment="1" applyProtection="1">
      <alignment horizontal="center" vertical="center" wrapText="1"/>
      <protection locked="0"/>
    </xf>
    <xf numFmtId="0" fontId="6" fillId="3" borderId="8" xfId="0" applyFont="1" applyFill="1" applyBorder="1" applyAlignment="1">
      <alignment horizontal="center" vertical="center" wrapText="1"/>
    </xf>
    <xf numFmtId="0" fontId="0" fillId="3" borderId="5" xfId="0"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0" fillId="6" borderId="17" xfId="0" applyFill="1" applyBorder="1" applyAlignment="1">
      <alignment horizontal="center" vertical="center" wrapText="1"/>
    </xf>
    <xf numFmtId="0" fontId="5" fillId="3" borderId="4" xfId="0" applyFont="1" applyFill="1" applyBorder="1" applyAlignment="1">
      <alignment vertical="center" wrapText="1"/>
    </xf>
    <xf numFmtId="0" fontId="0" fillId="3" borderId="8" xfId="0" applyFill="1" applyBorder="1" applyAlignment="1">
      <alignment horizontal="center" vertical="center" wrapText="1"/>
    </xf>
    <xf numFmtId="0" fontId="6" fillId="4" borderId="8" xfId="0" applyFont="1" applyFill="1" applyBorder="1" applyAlignment="1">
      <alignment horizontal="center" vertical="center" wrapText="1"/>
    </xf>
    <xf numFmtId="0" fontId="0" fillId="4" borderId="5" xfId="0" applyFill="1" applyBorder="1" applyAlignment="1">
      <alignment horizontal="center" vertical="center" wrapText="1"/>
    </xf>
    <xf numFmtId="0" fontId="0" fillId="6" borderId="19" xfId="0" applyFill="1" applyBorder="1" applyAlignment="1">
      <alignment horizontal="center" vertical="center" wrapText="1"/>
    </xf>
    <xf numFmtId="0" fontId="5" fillId="4" borderId="4" xfId="0" applyFont="1" applyFill="1" applyBorder="1" applyAlignment="1">
      <alignment horizontal="center" vertical="center" wrapText="1"/>
    </xf>
    <xf numFmtId="0" fontId="0" fillId="4" borderId="8" xfId="0" applyFill="1" applyBorder="1" applyAlignment="1">
      <alignment horizontal="center" vertical="center" wrapText="1"/>
    </xf>
    <xf numFmtId="0" fontId="5" fillId="3" borderId="9" xfId="0" applyFont="1" applyFill="1" applyBorder="1" applyAlignment="1">
      <alignment horizontal="center" vertical="center" wrapText="1"/>
    </xf>
    <xf numFmtId="0" fontId="0" fillId="3" borderId="20" xfId="0" applyFill="1" applyBorder="1" applyAlignment="1">
      <alignment horizontal="center" vertical="center" wrapText="1"/>
    </xf>
    <xf numFmtId="0" fontId="6" fillId="3" borderId="20" xfId="0" applyFont="1" applyFill="1" applyBorder="1" applyAlignment="1">
      <alignment horizontal="center" vertical="center" wrapText="1"/>
    </xf>
    <xf numFmtId="0" fontId="0" fillId="3" borderId="10" xfId="0" applyFill="1" applyBorder="1" applyAlignment="1">
      <alignment horizontal="center" vertical="center" wrapText="1"/>
    </xf>
    <xf numFmtId="0" fontId="11" fillId="3" borderId="5"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1" fillId="2" borderId="24" xfId="0" applyFont="1" applyFill="1" applyBorder="1" applyAlignment="1" applyProtection="1">
      <alignment horizontal="center" vertical="center" wrapText="1"/>
    </xf>
    <xf numFmtId="0" fontId="8" fillId="8" borderId="24" xfId="0" applyFont="1" applyFill="1" applyBorder="1" applyAlignment="1" applyProtection="1">
      <alignment horizontal="center" vertical="center" wrapText="1"/>
    </xf>
  </cellXfs>
  <cellStyles count="4">
    <cellStyle name="Insatisfaisant" xfId="1" builtinId="27"/>
    <cellStyle name="Lien hypertexte" xfId="3" builtinId="8"/>
    <cellStyle name="Neutre" xfId="2" builtinId="28"/>
    <cellStyle name="Normal" xfId="0" builtinId="0"/>
  </cellStyles>
  <dxfs count="24">
    <dxf>
      <font>
        <color rgb="FF000000"/>
        <name val="Calibri"/>
      </font>
      <fill>
        <patternFill>
          <bgColor rgb="FFFF0000"/>
        </patternFill>
      </fill>
    </dxf>
    <dxf>
      <font>
        <color rgb="FF000000"/>
        <name val="Calibri"/>
      </font>
      <fill>
        <patternFill>
          <bgColor rgb="FFFFC000"/>
        </patternFill>
      </fill>
    </dxf>
    <dxf>
      <font>
        <color rgb="FF000000"/>
        <name val="Calibri"/>
      </font>
      <fill>
        <patternFill>
          <bgColor rgb="FF00B050"/>
        </patternFill>
      </fill>
    </dxf>
    <dxf>
      <font>
        <color rgb="FF000000"/>
        <name val="Calibri"/>
      </font>
      <fill>
        <patternFill>
          <bgColor rgb="FFFF0000"/>
        </patternFill>
      </fill>
    </dxf>
    <dxf>
      <font>
        <color rgb="FF000000"/>
        <name val="Calibri"/>
      </font>
      <fill>
        <patternFill>
          <bgColor rgb="FFFFC000"/>
        </patternFill>
      </fill>
    </dxf>
    <dxf>
      <font>
        <color rgb="FF000000"/>
        <name val="Calibri"/>
      </font>
      <fill>
        <patternFill>
          <bgColor rgb="FF00B050"/>
        </patternFill>
      </fill>
    </dxf>
    <dxf>
      <font>
        <color rgb="FF000000"/>
        <name val="Calibri"/>
      </font>
      <fill>
        <patternFill>
          <bgColor rgb="FFFF0000"/>
        </patternFill>
      </fill>
    </dxf>
    <dxf>
      <font>
        <color rgb="FF000000"/>
        <name val="Calibri"/>
      </font>
      <fill>
        <patternFill>
          <bgColor rgb="FFFFC000"/>
        </patternFill>
      </fill>
    </dxf>
    <dxf>
      <font>
        <color rgb="FF000000"/>
        <name val="Calibri"/>
      </font>
      <fill>
        <patternFill>
          <bgColor rgb="FF00B050"/>
        </patternFill>
      </fill>
    </dxf>
    <dxf>
      <font>
        <color rgb="FF000000"/>
        <name val="Calibri"/>
      </font>
      <fill>
        <patternFill>
          <bgColor rgb="FFFF0000"/>
        </patternFill>
      </fill>
    </dxf>
    <dxf>
      <font>
        <color rgb="FF000000"/>
        <name val="Calibri"/>
      </font>
      <fill>
        <patternFill>
          <bgColor rgb="FFFFC000"/>
        </patternFill>
      </fill>
    </dxf>
    <dxf>
      <font>
        <color rgb="FF000000"/>
        <name val="Calibri"/>
      </font>
      <fill>
        <patternFill>
          <bgColor rgb="FF00B050"/>
        </patternFill>
      </fill>
    </dxf>
    <dxf>
      <font>
        <color rgb="FF000000"/>
        <name val="Calibri"/>
      </font>
      <fill>
        <patternFill>
          <bgColor rgb="FFFF0000"/>
        </patternFill>
      </fill>
    </dxf>
    <dxf>
      <font>
        <color rgb="FF000000"/>
        <name val="Calibri"/>
      </font>
      <fill>
        <patternFill>
          <bgColor rgb="FFFFC000"/>
        </patternFill>
      </fill>
    </dxf>
    <dxf>
      <font>
        <color rgb="FF000000"/>
        <name val="Calibri"/>
      </font>
      <fill>
        <patternFill>
          <bgColor rgb="FF00B050"/>
        </patternFill>
      </fill>
    </dxf>
    <dxf>
      <font>
        <color rgb="FF000000"/>
        <name val="Calibri"/>
      </font>
      <fill>
        <patternFill>
          <bgColor rgb="FFFF0000"/>
        </patternFill>
      </fill>
    </dxf>
    <dxf>
      <font>
        <color rgb="FF000000"/>
        <name val="Calibri"/>
      </font>
      <fill>
        <patternFill>
          <bgColor rgb="FFFFC000"/>
        </patternFill>
      </fill>
    </dxf>
    <dxf>
      <font>
        <color rgb="FF000000"/>
        <name val="Calibri"/>
      </font>
      <fill>
        <patternFill>
          <bgColor rgb="FF00B050"/>
        </patternFill>
      </fill>
    </dxf>
    <dxf>
      <font>
        <color rgb="FF000000"/>
        <name val="Calibri"/>
      </font>
      <fill>
        <patternFill>
          <bgColor rgb="FFFFC000"/>
        </patternFill>
      </fill>
    </dxf>
    <dxf>
      <font>
        <color rgb="FF000000"/>
        <name val="Calibri"/>
      </font>
      <fill>
        <patternFill>
          <bgColor rgb="FF00B050"/>
        </patternFill>
      </fill>
    </dxf>
    <dxf>
      <font>
        <color rgb="FF000000"/>
        <name val="Calibri"/>
      </font>
      <fill>
        <patternFill>
          <bgColor rgb="FFFF0000"/>
        </patternFill>
      </fill>
    </dxf>
    <dxf>
      <font>
        <color rgb="FF000000"/>
        <name val="Calibri"/>
      </font>
      <fill>
        <patternFill>
          <bgColor rgb="FFFFC000"/>
        </patternFill>
      </fill>
    </dxf>
    <dxf>
      <font>
        <color rgb="FF000000"/>
        <name val="Calibri"/>
      </font>
      <fill>
        <patternFill>
          <bgColor rgb="FF00B050"/>
        </patternFill>
      </fill>
    </dxf>
    <dxf>
      <font>
        <color rgb="FF000000"/>
        <name val="Calibri"/>
      </font>
      <fill>
        <patternFill>
          <bgColor rgb="FFFF0000"/>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78787"/>
      <rgbColor rgb="FF9999FF"/>
      <rgbColor rgb="FF993366"/>
      <rgbColor rgb="FFF2F2F2"/>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B0F0"/>
      <rgbColor rgb="FFCCFFFF"/>
      <rgbColor rgb="FFCCFFCC"/>
      <rgbColor rgb="FFFFFF99"/>
      <rgbColor rgb="FF99CCFF"/>
      <rgbColor rgb="FFFF99CC"/>
      <rgbColor rgb="FFCC99FF"/>
      <rgbColor rgb="FFFFCC99"/>
      <rgbColor rgb="FF4A7EBB"/>
      <rgbColor rgb="FF3BE568"/>
      <rgbColor rgb="FF99CC00"/>
      <rgbColor rgb="FFFFC000"/>
      <rgbColor rgb="FFFF9900"/>
      <rgbColor rgb="FFFF6600"/>
      <rgbColor rgb="FF6C6C6D"/>
      <rgbColor rgb="FF969696"/>
      <rgbColor rgb="FF003366"/>
      <rgbColor rgb="FF00B050"/>
      <rgbColor rgb="FF003300"/>
      <rgbColor rgb="FF333300"/>
      <rgbColor rgb="FF993300"/>
      <rgbColor rgb="FF993366"/>
      <rgbColor rgb="FF333399"/>
      <rgbColor rgb="FF53535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c:style val="2"/>
  <c:chart>
    <c:autoTitleDeleted val="1"/>
    <c:plotArea>
      <c:layout/>
      <c:radarChart>
        <c:radarStyle val="marker"/>
        <c:varyColors val="1"/>
        <c:ser>
          <c:idx val="0"/>
          <c:order val="0"/>
          <c:spPr>
            <a:ln w="63360">
              <a:solidFill>
                <a:srgbClr val="4A7EBB"/>
              </a:solidFill>
              <a:round/>
            </a:ln>
          </c:spPr>
          <c:marker>
            <c:symbol val="square"/>
            <c:size val="5"/>
            <c:spPr>
              <a:solidFill>
                <a:srgbClr val="4A7EBB"/>
              </a:solidFill>
            </c:spPr>
          </c:marker>
          <c:dPt>
            <c:idx val="0"/>
            <c:bubble3D val="0"/>
            <c:extLst>
              <c:ext xmlns:c16="http://schemas.microsoft.com/office/drawing/2014/chart" uri="{C3380CC4-5D6E-409C-BE32-E72D297353CC}">
                <c16:uniqueId val="{00000001-F286-48F4-B112-A77412AC22C0}"/>
              </c:ext>
            </c:extLst>
          </c:dPt>
          <c:dPt>
            <c:idx val="1"/>
            <c:bubble3D val="0"/>
            <c:extLst>
              <c:ext xmlns:c16="http://schemas.microsoft.com/office/drawing/2014/chart" uri="{C3380CC4-5D6E-409C-BE32-E72D297353CC}">
                <c16:uniqueId val="{00000003-F286-48F4-B112-A77412AC22C0}"/>
              </c:ext>
            </c:extLst>
          </c:dPt>
          <c:dPt>
            <c:idx val="2"/>
            <c:bubble3D val="0"/>
            <c:extLst>
              <c:ext xmlns:c16="http://schemas.microsoft.com/office/drawing/2014/chart" uri="{C3380CC4-5D6E-409C-BE32-E72D297353CC}">
                <c16:uniqueId val="{00000005-F286-48F4-B112-A77412AC22C0}"/>
              </c:ext>
            </c:extLst>
          </c:dPt>
          <c:dPt>
            <c:idx val="3"/>
            <c:bubble3D val="0"/>
            <c:extLst>
              <c:ext xmlns:c16="http://schemas.microsoft.com/office/drawing/2014/chart" uri="{C3380CC4-5D6E-409C-BE32-E72D297353CC}">
                <c16:uniqueId val="{00000007-F286-48F4-B112-A77412AC22C0}"/>
              </c:ext>
            </c:extLst>
          </c:dPt>
          <c:dPt>
            <c:idx val="4"/>
            <c:bubble3D val="0"/>
            <c:extLst>
              <c:ext xmlns:c16="http://schemas.microsoft.com/office/drawing/2014/chart" uri="{C3380CC4-5D6E-409C-BE32-E72D297353CC}">
                <c16:uniqueId val="{00000009-F286-48F4-B112-A77412AC22C0}"/>
              </c:ext>
            </c:extLst>
          </c:dPt>
          <c:dPt>
            <c:idx val="5"/>
            <c:bubble3D val="0"/>
            <c:extLst>
              <c:ext xmlns:c16="http://schemas.microsoft.com/office/drawing/2014/chart" uri="{C3380CC4-5D6E-409C-BE32-E72D297353CC}">
                <c16:uniqueId val="{0000000B-F286-48F4-B112-A77412AC22C0}"/>
              </c:ext>
            </c:extLst>
          </c:dPt>
          <c:dPt>
            <c:idx val="6"/>
            <c:bubble3D val="0"/>
            <c:extLst>
              <c:ext xmlns:c16="http://schemas.microsoft.com/office/drawing/2014/chart" uri="{C3380CC4-5D6E-409C-BE32-E72D297353CC}">
                <c16:uniqueId val="{0000000D-F286-48F4-B112-A77412AC22C0}"/>
              </c:ext>
            </c:extLst>
          </c:dPt>
          <c:dLbls>
            <c:spPr>
              <a:noFill/>
              <a:ln>
                <a:noFill/>
              </a:ln>
              <a:effectLst/>
            </c:spPr>
            <c:showLegendKey val="0"/>
            <c:showVal val="1"/>
            <c:showCatName val="0"/>
            <c:showSerName val="0"/>
            <c:showPercent val="0"/>
            <c:showBubbleSize val="1"/>
            <c:showLeaderLines val="0"/>
            <c:extLst>
              <c:ext xmlns:c15="http://schemas.microsoft.com/office/drawing/2012/chart" uri="{CE6537A1-D6FC-4f65-9D91-7224C49458BB}">
                <c15:showLeaderLines val="0"/>
              </c:ext>
            </c:extLst>
          </c:dLbls>
          <c:cat>
            <c:strRef>
              <c:f>Résumé!$C$13:$I$13</c:f>
              <c:strCache>
                <c:ptCount val="7"/>
                <c:pt idx="0">
                  <c:v>Équipements</c:v>
                </c:pt>
                <c:pt idx="1">
                  <c:v>Infrastructures</c:v>
                </c:pt>
                <c:pt idx="2">
                  <c:v>Services</c:v>
                </c:pt>
                <c:pt idx="3">
                  <c:v>Organisation, gestion et suivi</c:v>
                </c:pt>
                <c:pt idx="4">
                  <c:v>Formation</c:v>
                </c:pt>
                <c:pt idx="5">
                  <c:v>Utilisations</c:v>
                </c:pt>
                <c:pt idx="6">
                  <c:v>Usages</c:v>
                </c:pt>
              </c:strCache>
            </c:strRef>
          </c:cat>
          <c:val>
            <c:numRef>
              <c:f>Résumé!$C$14:$I$14</c:f>
              <c:numCache>
                <c:formatCode>General</c:formatCode>
                <c:ptCount val="7"/>
                <c:pt idx="0">
                  <c:v>9</c:v>
                </c:pt>
                <c:pt idx="1">
                  <c:v>8</c:v>
                </c:pt>
                <c:pt idx="2">
                  <c:v>5</c:v>
                </c:pt>
                <c:pt idx="3">
                  <c:v>6</c:v>
                </c:pt>
                <c:pt idx="4">
                  <c:v>7</c:v>
                </c:pt>
                <c:pt idx="5">
                  <c:v>4</c:v>
                </c:pt>
                <c:pt idx="6">
                  <c:v>9</c:v>
                </c:pt>
              </c:numCache>
            </c:numRef>
          </c:val>
          <c:extLst>
            <c:ext xmlns:c16="http://schemas.microsoft.com/office/drawing/2014/chart" uri="{C3380CC4-5D6E-409C-BE32-E72D297353CC}">
              <c16:uniqueId val="{0000000E-F286-48F4-B112-A77412AC22C0}"/>
            </c:ext>
          </c:extLst>
        </c:ser>
        <c:dLbls>
          <c:showLegendKey val="0"/>
          <c:showVal val="0"/>
          <c:showCatName val="0"/>
          <c:showSerName val="0"/>
          <c:showPercent val="0"/>
          <c:showBubbleSize val="0"/>
        </c:dLbls>
        <c:axId val="79656448"/>
        <c:axId val="79657984"/>
      </c:radarChart>
      <c:catAx>
        <c:axId val="79656448"/>
        <c:scaling>
          <c:orientation val="minMax"/>
        </c:scaling>
        <c:delete val="0"/>
        <c:axPos val="b"/>
        <c:majorGridlines>
          <c:spPr>
            <a:ln w="9360">
              <a:solidFill>
                <a:srgbClr val="878787"/>
              </a:solidFill>
              <a:round/>
            </a:ln>
          </c:spPr>
        </c:majorGridlines>
        <c:numFmt formatCode="General" sourceLinked="1"/>
        <c:majorTickMark val="out"/>
        <c:minorTickMark val="none"/>
        <c:tickLblPos val="nextTo"/>
        <c:spPr>
          <a:ln w="9360">
            <a:noFill/>
          </a:ln>
        </c:spPr>
        <c:txPr>
          <a:bodyPr/>
          <a:lstStyle/>
          <a:p>
            <a:pPr>
              <a:defRPr sz="1000" b="0" strike="noStrike" spc="-1">
                <a:solidFill>
                  <a:srgbClr val="000000"/>
                </a:solidFill>
                <a:uFill>
                  <a:solidFill>
                    <a:srgbClr val="FFFFFF"/>
                  </a:solidFill>
                </a:uFill>
                <a:latin typeface="Arial"/>
              </a:defRPr>
            </a:pPr>
            <a:endParaRPr lang="fr-FR"/>
          </a:p>
        </c:txPr>
        <c:crossAx val="79657984"/>
        <c:crosses val="autoZero"/>
        <c:auto val="1"/>
        <c:lblAlgn val="ctr"/>
        <c:lblOffset val="100"/>
        <c:noMultiLvlLbl val="1"/>
      </c:catAx>
      <c:valAx>
        <c:axId val="79657984"/>
        <c:scaling>
          <c:orientation val="minMax"/>
          <c:max val="10"/>
          <c:min val="0"/>
        </c:scaling>
        <c:delete val="0"/>
        <c:axPos val="l"/>
        <c:majorGridlines>
          <c:spPr>
            <a:ln w="9360">
              <a:solidFill>
                <a:srgbClr val="878787"/>
              </a:solidFill>
              <a:round/>
            </a:ln>
          </c:spPr>
        </c:majorGridlines>
        <c:numFmt formatCode="General" sourceLinked="1"/>
        <c:majorTickMark val="cross"/>
        <c:minorTickMark val="none"/>
        <c:tickLblPos val="nextTo"/>
        <c:spPr>
          <a:ln w="9360">
            <a:solidFill>
              <a:srgbClr val="878787"/>
            </a:solidFill>
            <a:round/>
          </a:ln>
        </c:spPr>
        <c:txPr>
          <a:bodyPr/>
          <a:lstStyle/>
          <a:p>
            <a:pPr>
              <a:defRPr sz="1000" b="0" strike="noStrike" spc="-1">
                <a:solidFill>
                  <a:srgbClr val="000000"/>
                </a:solidFill>
                <a:uFill>
                  <a:solidFill>
                    <a:srgbClr val="FFFFFF"/>
                  </a:solidFill>
                </a:uFill>
                <a:latin typeface="Arial"/>
              </a:defRPr>
            </a:pPr>
            <a:endParaRPr lang="fr-FR"/>
          </a:p>
        </c:txPr>
        <c:crossAx val="79656448"/>
        <c:crossesAt val="0"/>
        <c:crossBetween val="midCat"/>
        <c:majorUnit val="1"/>
        <c:minorUnit val="1"/>
      </c:valAx>
      <c:spPr>
        <a:solidFill>
          <a:srgbClr val="FFFFFF"/>
        </a:solidFill>
        <a:ln>
          <a:noFill/>
        </a:ln>
      </c:spPr>
    </c:plotArea>
    <c:plotVisOnly val="1"/>
    <c:dispBlanksAs val="zero"/>
    <c:showDLblsOverMax val="1"/>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31750</xdr:colOff>
      <xdr:row>0</xdr:row>
      <xdr:rowOff>52916</xdr:rowOff>
    </xdr:from>
    <xdr:to>
      <xdr:col>0</xdr:col>
      <xdr:colOff>5443665</xdr:colOff>
      <xdr:row>0</xdr:row>
      <xdr:rowOff>2412998</xdr:rowOff>
    </xdr:to>
    <xdr:pic>
      <xdr:nvPicPr>
        <xdr:cNvPr id="4" name="Imag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31750" y="52916"/>
          <a:ext cx="5411915" cy="23600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27000</xdr:colOff>
      <xdr:row>0</xdr:row>
      <xdr:rowOff>0</xdr:rowOff>
    </xdr:from>
    <xdr:to>
      <xdr:col>13</xdr:col>
      <xdr:colOff>349920</xdr:colOff>
      <xdr:row>43</xdr:row>
      <xdr:rowOff>28800</xdr:rowOff>
    </xdr:to>
    <xdr:graphicFrame macro="">
      <xdr:nvGraphicFramePr>
        <xdr:cNvPr id="2" name="Graphique 1">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hlorofil.fr/numerique/plan-2018-2020/suivi"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AD8"/>
  <sheetViews>
    <sheetView tabSelected="1" zoomScaleNormal="100" workbookViewId="0">
      <selection activeCell="A4" sqref="A4"/>
    </sheetView>
  </sheetViews>
  <sheetFormatPr baseColWidth="10" defaultColWidth="9.1328125" defaultRowHeight="14.25" x14ac:dyDescent="0.45"/>
  <cols>
    <col min="1" max="1" width="86.265625" style="102" bestFit="1" customWidth="1"/>
    <col min="2" max="30" width="10.3984375" style="102"/>
    <col min="31" max="1025" width="10.3984375"/>
  </cols>
  <sheetData>
    <row r="1" spans="1:1" ht="201.75" customHeight="1" x14ac:dyDescent="0.45"/>
    <row r="2" spans="1:1" ht="90" x14ac:dyDescent="0.55000000000000004">
      <c r="A2" s="103" t="s">
        <v>239</v>
      </c>
    </row>
    <row r="3" spans="1:1" ht="18" x14ac:dyDescent="0.55000000000000004">
      <c r="A3" s="103"/>
    </row>
    <row r="4" spans="1:1" x14ac:dyDescent="0.45">
      <c r="A4" s="119" t="s">
        <v>233</v>
      </c>
    </row>
    <row r="6" spans="1:1" ht="18" x14ac:dyDescent="0.55000000000000004">
      <c r="A6" s="117" t="s">
        <v>197</v>
      </c>
    </row>
    <row r="8" spans="1:1" ht="18" x14ac:dyDescent="0.55000000000000004">
      <c r="A8" s="117" t="s">
        <v>198</v>
      </c>
    </row>
  </sheetData>
  <sheetProtection pivotTables="0"/>
  <hyperlinks>
    <hyperlink ref="A4" r:id="rId1" display="LIEN VERS LE DOCUMENT D'ACCOMPAGNEMENT SUR LE SITE CHLOROFIL" xr:uid="{954FCD12-1183-42A5-8427-811428E7F9EC}"/>
  </hyperlinks>
  <pageMargins left="0.23611111111111099" right="0.23611111111111099" top="0.23611111111111099" bottom="0.23611111111111099" header="0.51180555555555496" footer="0.51180555555555496"/>
  <pageSetup paperSize="9" firstPageNumber="0" orientation="portrait" horizontalDpi="300" verticalDpi="30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AMK14"/>
  <sheetViews>
    <sheetView zoomScaleNormal="100" workbookViewId="0">
      <selection activeCell="F14" sqref="F14"/>
    </sheetView>
  </sheetViews>
  <sheetFormatPr baseColWidth="10" defaultColWidth="9.1328125" defaultRowHeight="14.25" x14ac:dyDescent="0.45"/>
  <cols>
    <col min="1" max="1" width="27.3984375" style="83"/>
    <col min="2" max="2" width="11.59765625" style="83"/>
    <col min="3" max="3" width="21.73046875" style="83"/>
    <col min="4" max="4" width="13.73046875" style="83"/>
    <col min="5" max="6" width="8.1328125" style="83"/>
    <col min="7" max="7" width="10" style="83"/>
    <col min="8" max="8" width="10.86328125" style="83"/>
    <col min="9" max="9" width="7" style="83"/>
    <col min="10" max="1025" width="11.1328125" style="83"/>
  </cols>
  <sheetData>
    <row r="1" spans="1:9" ht="84.75" customHeight="1" x14ac:dyDescent="0.45">
      <c r="A1" s="166" t="str">
        <f>"Etablissement "&amp;'Données brutes'!B2&amp;" - "&amp;'Données brutes'!B3</f>
        <v>Etablissement Etablissement - 0050094Z</v>
      </c>
      <c r="B1" s="166"/>
      <c r="C1" s="166"/>
      <c r="D1" s="166"/>
      <c r="E1" s="166"/>
      <c r="F1" s="166"/>
      <c r="G1"/>
      <c r="H1"/>
      <c r="I1"/>
    </row>
    <row r="2" spans="1:9" x14ac:dyDescent="0.45">
      <c r="A2"/>
      <c r="B2"/>
      <c r="C2"/>
      <c r="D2"/>
      <c r="E2"/>
      <c r="F2"/>
      <c r="G2"/>
      <c r="H2"/>
      <c r="I2"/>
    </row>
    <row r="3" spans="1:9" ht="33.75" customHeight="1" x14ac:dyDescent="0.45">
      <c r="A3" s="167" t="s">
        <v>124</v>
      </c>
      <c r="B3" s="167"/>
      <c r="C3" s="167"/>
      <c r="D3" s="167"/>
      <c r="E3" s="167"/>
      <c r="F3" s="167"/>
      <c r="G3"/>
      <c r="H3"/>
      <c r="I3"/>
    </row>
    <row r="4" spans="1:9" x14ac:dyDescent="0.45">
      <c r="A4"/>
      <c r="B4"/>
      <c r="C4" s="84"/>
      <c r="D4" s="84"/>
      <c r="E4" s="84"/>
      <c r="F4"/>
      <c r="G4"/>
      <c r="H4"/>
      <c r="I4"/>
    </row>
    <row r="5" spans="1:9" ht="25.5" x14ac:dyDescent="0.45">
      <c r="A5" s="85" t="s">
        <v>125</v>
      </c>
      <c r="B5" s="86" t="s">
        <v>126</v>
      </c>
      <c r="C5" s="87">
        <f>équipements!C26</f>
        <v>9</v>
      </c>
      <c r="D5" s="88" t="s">
        <v>51</v>
      </c>
      <c r="E5" s="89"/>
      <c r="F5" s="89"/>
      <c r="G5" s="89"/>
      <c r="H5"/>
      <c r="I5"/>
    </row>
    <row r="6" spans="1:9" ht="25.5" x14ac:dyDescent="0.45">
      <c r="A6" s="90" t="s">
        <v>127</v>
      </c>
      <c r="B6" s="91" t="s">
        <v>126</v>
      </c>
      <c r="C6" s="92">
        <f>infrastructures!C22</f>
        <v>8</v>
      </c>
      <c r="D6" s="93" t="s">
        <v>51</v>
      </c>
      <c r="E6" s="89"/>
      <c r="F6" s="89"/>
      <c r="G6" s="89"/>
      <c r="H6"/>
      <c r="I6"/>
    </row>
    <row r="7" spans="1:9" ht="25.5" x14ac:dyDescent="0.45">
      <c r="A7" s="94" t="s">
        <v>128</v>
      </c>
      <c r="B7" s="86" t="s">
        <v>126</v>
      </c>
      <c r="C7" s="87">
        <f>services!B22</f>
        <v>5</v>
      </c>
      <c r="D7" s="88" t="s">
        <v>51</v>
      </c>
      <c r="E7" s="89"/>
      <c r="F7" s="89"/>
      <c r="G7" s="89"/>
      <c r="H7"/>
      <c r="I7"/>
    </row>
    <row r="8" spans="1:9" ht="51" x14ac:dyDescent="0.45">
      <c r="A8" s="90" t="s">
        <v>234</v>
      </c>
      <c r="B8" s="91" t="s">
        <v>126</v>
      </c>
      <c r="C8" s="92">
        <f>'organisation, gestion et suivi'!B27</f>
        <v>6</v>
      </c>
      <c r="D8" s="93" t="s">
        <v>51</v>
      </c>
      <c r="E8" s="89"/>
      <c r="F8" s="89"/>
      <c r="G8" s="89"/>
      <c r="H8"/>
      <c r="I8"/>
    </row>
    <row r="9" spans="1:9" ht="25.5" x14ac:dyDescent="0.45">
      <c r="A9" s="94" t="s">
        <v>129</v>
      </c>
      <c r="B9" s="86" t="s">
        <v>126</v>
      </c>
      <c r="C9" s="87">
        <f>formation!B20</f>
        <v>7</v>
      </c>
      <c r="D9" s="88" t="s">
        <v>51</v>
      </c>
      <c r="E9" s="89"/>
      <c r="F9" s="89"/>
      <c r="G9" s="89"/>
      <c r="H9"/>
      <c r="I9"/>
    </row>
    <row r="10" spans="1:9" ht="25.5" x14ac:dyDescent="0.45">
      <c r="A10" s="90" t="s">
        <v>130</v>
      </c>
      <c r="B10" s="91" t="s">
        <v>126</v>
      </c>
      <c r="C10" s="92">
        <f>utilisations!B18</f>
        <v>4</v>
      </c>
      <c r="D10" s="93" t="s">
        <v>51</v>
      </c>
      <c r="E10" s="89"/>
      <c r="F10" s="89"/>
      <c r="G10" s="89"/>
      <c r="H10"/>
      <c r="I10"/>
    </row>
    <row r="11" spans="1:9" ht="25.5" x14ac:dyDescent="0.45">
      <c r="A11" s="95" t="s">
        <v>131</v>
      </c>
      <c r="B11" s="96" t="s">
        <v>126</v>
      </c>
      <c r="C11" s="97">
        <f>usages!B25</f>
        <v>9</v>
      </c>
      <c r="D11" s="98" t="s">
        <v>51</v>
      </c>
      <c r="E11" s="89"/>
      <c r="F11" s="89"/>
      <c r="G11" s="89"/>
      <c r="H11"/>
      <c r="I11"/>
    </row>
    <row r="12" spans="1:9" x14ac:dyDescent="0.45">
      <c r="A12"/>
      <c r="B12"/>
      <c r="C12" s="84"/>
      <c r="D12" s="84"/>
      <c r="E12" s="84"/>
      <c r="F12"/>
      <c r="G12"/>
      <c r="H12"/>
      <c r="I12"/>
    </row>
    <row r="13" spans="1:9" ht="57" x14ac:dyDescent="0.45">
      <c r="A13" s="84" t="s">
        <v>132</v>
      </c>
      <c r="B13" s="84" t="s">
        <v>133</v>
      </c>
      <c r="C13" s="84" t="s">
        <v>1</v>
      </c>
      <c r="D13" s="84" t="s">
        <v>4</v>
      </c>
      <c r="E13" s="84" t="s">
        <v>16</v>
      </c>
      <c r="F13" s="84" t="s">
        <v>158</v>
      </c>
      <c r="G13" s="84" t="s">
        <v>27</v>
      </c>
      <c r="H13" s="84" t="s">
        <v>29</v>
      </c>
      <c r="I13" s="84" t="s">
        <v>32</v>
      </c>
    </row>
    <row r="14" spans="1:9" x14ac:dyDescent="0.45">
      <c r="A14" s="84" t="str">
        <f>'Données brutes'!B3</f>
        <v>0050094Z</v>
      </c>
      <c r="B14" s="84" t="str">
        <f>'Données brutes'!B2</f>
        <v>Etablissement</v>
      </c>
      <c r="C14" s="84">
        <f>équipements!C26</f>
        <v>9</v>
      </c>
      <c r="D14" s="84">
        <f>infrastructures!C22</f>
        <v>8</v>
      </c>
      <c r="E14" s="84">
        <f>services!B22</f>
        <v>5</v>
      </c>
      <c r="F14" s="84">
        <f>'organisation, gestion et suivi'!B27</f>
        <v>6</v>
      </c>
      <c r="G14" s="84">
        <f>formation!B20</f>
        <v>7</v>
      </c>
      <c r="H14" s="84">
        <f>utilisations!B18</f>
        <v>4</v>
      </c>
      <c r="I14" s="84">
        <f>usages!B25</f>
        <v>9</v>
      </c>
    </row>
  </sheetData>
  <sheetProtection pivotTables="0"/>
  <mergeCells count="2">
    <mergeCell ref="A1:F1"/>
    <mergeCell ref="A3:F3"/>
  </mergeCells>
  <conditionalFormatting sqref="B5:B11">
    <cfRule type="dataBar" priority="2">
      <dataBar>
        <cfvo type="num" val="1"/>
        <cfvo type="num" val="10"/>
        <color rgb="FF00B050"/>
      </dataBar>
      <extLst>
        <ext xmlns:x14="http://schemas.microsoft.com/office/spreadsheetml/2009/9/main" uri="{B025F937-C7B1-47D3-B67F-A62EFF666E3E}">
          <x14:id>{F526CFB2-2056-4DFE-9920-C0B1F88C3C91}</x14:id>
        </ext>
      </extLst>
    </cfRule>
  </conditionalFormatting>
  <conditionalFormatting sqref="C5:C11">
    <cfRule type="dataBar" priority="3">
      <dataBar>
        <cfvo type="num" val="0"/>
        <cfvo type="num" val="10"/>
        <color rgb="FF63C384"/>
      </dataBar>
      <extLst>
        <ext xmlns:x14="http://schemas.microsoft.com/office/spreadsheetml/2009/9/main" uri="{B025F937-C7B1-47D3-B67F-A62EFF666E3E}">
          <x14:id>{C62F66DE-B570-44A0-9C19-448179ED42E1}</x14:id>
        </ext>
      </extLst>
    </cfRule>
  </conditionalFormatting>
  <pageMargins left="0.7" right="0.7" top="0.75" bottom="0.75" header="0.51180555555555496" footer="0.51180555555555496"/>
  <pageSetup paperSize="9" firstPageNumber="0" orientation="portrait" horizontalDpi="0" verticalDpi="0" r:id="rId1"/>
  <extLst>
    <ext xmlns:x14="http://schemas.microsoft.com/office/spreadsheetml/2009/9/main" uri="{78C0D931-6437-407d-A8EE-F0AAD7539E65}">
      <x14:conditionalFormattings>
        <x14:conditionalFormatting xmlns:xm="http://schemas.microsoft.com/office/excel/2006/main">
          <x14:cfRule type="dataBar" id="{F526CFB2-2056-4DFE-9920-C0B1F88C3C91}">
            <x14:dataBar>
              <x14:cfvo type="num">
                <xm:f>1</xm:f>
              </x14:cfvo>
              <x14:cfvo type="num">
                <xm:f>10</xm:f>
              </x14:cfvo>
              <x14:negativeFillColor rgb="FFFF0000"/>
              <x14:axisColor rgb="FF000000"/>
            </x14:dataBar>
          </x14:cfRule>
          <xm:sqref>B5:B11</xm:sqref>
        </x14:conditionalFormatting>
        <x14:conditionalFormatting xmlns:xm="http://schemas.microsoft.com/office/excel/2006/main">
          <x14:cfRule type="dataBar" id="{C62F66DE-B570-44A0-9C19-448179ED42E1}">
            <x14:dataBar gradient="0">
              <x14:cfvo type="num">
                <xm:f>0</xm:f>
              </x14:cfvo>
              <x14:cfvo type="num">
                <xm:f>10</xm:f>
              </x14:cfvo>
              <x14:negativeFillColor rgb="FFFF0000"/>
              <x14:axisColor rgb="FF000000"/>
            </x14:dataBar>
          </x14:cfRule>
          <xm:sqref>C5:C11</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pageSetUpPr fitToPage="1"/>
  </sheetPr>
  <dimension ref="A1"/>
  <sheetViews>
    <sheetView zoomScale="85" zoomScaleNormal="85" workbookViewId="0">
      <selection activeCell="Q28" sqref="Q28"/>
    </sheetView>
  </sheetViews>
  <sheetFormatPr baseColWidth="10" defaultColWidth="9.1328125" defaultRowHeight="14.25" x14ac:dyDescent="0.45"/>
  <cols>
    <col min="1" max="1025" width="8.3984375"/>
  </cols>
  <sheetData/>
  <sheetProtection pivotTables="0"/>
  <pageMargins left="0.23611111111111099" right="0.23611111111111099" top="0.23611111111111099" bottom="0.23611111111111099" header="0.51180555555555496" footer="0.51180555555555496"/>
  <pageSetup paperSize="9" scale="84" firstPageNumber="0"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pageSetUpPr fitToPage="1"/>
  </sheetPr>
  <dimension ref="A1:AMK117"/>
  <sheetViews>
    <sheetView zoomScaleNormal="100" zoomScaleSheetLayoutView="35" workbookViewId="0">
      <selection sqref="A1:E1"/>
    </sheetView>
  </sheetViews>
  <sheetFormatPr baseColWidth="10" defaultColWidth="9.1328125" defaultRowHeight="14.25" x14ac:dyDescent="0.45"/>
  <cols>
    <col min="1" max="1" width="96.86328125" style="1" customWidth="1"/>
    <col min="2" max="2" width="32" style="1"/>
    <col min="3" max="3" width="9" style="1"/>
    <col min="4" max="4" width="13.1328125" style="1"/>
    <col min="5" max="5" width="19.59765625" style="1" customWidth="1"/>
    <col min="6" max="6" width="11.73046875" style="111" customWidth="1"/>
    <col min="7" max="7" width="12.3984375" style="1" hidden="1" customWidth="1"/>
    <col min="8" max="8" width="14.59765625" style="1" hidden="1" customWidth="1"/>
    <col min="9" max="9" width="16.265625" style="1" hidden="1" customWidth="1"/>
    <col min="10" max="1025" width="9" style="1"/>
  </cols>
  <sheetData>
    <row r="1" spans="1:9" ht="27" customHeight="1" x14ac:dyDescent="0.45">
      <c r="A1" s="125" t="s">
        <v>0</v>
      </c>
      <c r="B1" s="125"/>
      <c r="C1" s="125"/>
      <c r="D1" s="125"/>
      <c r="E1" s="125"/>
      <c r="G1" s="1">
        <f>IF(H1=0,0,IF(H1=I1,2,1))</f>
        <v>2</v>
      </c>
      <c r="H1" s="1">
        <f>SUM(H2:H6)</f>
        <v>5</v>
      </c>
      <c r="I1" s="1">
        <f>SUM(I2:I6)</f>
        <v>5</v>
      </c>
    </row>
    <row r="2" spans="1:9" ht="15" customHeight="1" x14ac:dyDescent="0.45">
      <c r="A2" s="3" t="s">
        <v>241</v>
      </c>
      <c r="B2" s="141" t="s">
        <v>242</v>
      </c>
      <c r="C2" s="141"/>
      <c r="D2" s="141"/>
      <c r="E2" s="141"/>
      <c r="G2" s="1" t="b">
        <f>ISBLANK(B2)</f>
        <v>0</v>
      </c>
      <c r="H2" s="1">
        <f>IF(G2=FALSE,1,0)</f>
        <v>1</v>
      </c>
      <c r="I2" s="1">
        <v>1</v>
      </c>
    </row>
    <row r="3" spans="1:9" ht="15" customHeight="1" x14ac:dyDescent="0.45">
      <c r="A3" s="4" t="s">
        <v>155</v>
      </c>
      <c r="B3" s="142" t="s">
        <v>243</v>
      </c>
      <c r="C3" s="142"/>
      <c r="D3" s="142"/>
      <c r="E3" s="142"/>
      <c r="G3" s="1" t="b">
        <f>ISBLANK(B3)</f>
        <v>0</v>
      </c>
      <c r="H3" s="1">
        <f t="shared" ref="H3:H6" si="0">IF(G3=FALSE,1,0)</f>
        <v>1</v>
      </c>
      <c r="I3" s="1">
        <v>1</v>
      </c>
    </row>
    <row r="4" spans="1:9" x14ac:dyDescent="0.45">
      <c r="A4" s="5" t="s">
        <v>181</v>
      </c>
      <c r="B4" s="140">
        <v>400</v>
      </c>
      <c r="C4" s="140"/>
      <c r="D4" s="140"/>
      <c r="E4" s="140"/>
      <c r="G4" s="1" t="b">
        <f>ISBLANK(B4)</f>
        <v>0</v>
      </c>
      <c r="H4" s="1">
        <f t="shared" si="0"/>
        <v>1</v>
      </c>
      <c r="I4" s="1">
        <v>1</v>
      </c>
    </row>
    <row r="5" spans="1:9" x14ac:dyDescent="0.45">
      <c r="A5" s="4" t="s">
        <v>182</v>
      </c>
      <c r="B5" s="135">
        <v>30</v>
      </c>
      <c r="C5" s="135"/>
      <c r="D5" s="135"/>
      <c r="E5" s="135"/>
      <c r="G5" s="1" t="b">
        <f>ISBLANK(B5)</f>
        <v>0</v>
      </c>
      <c r="H5" s="1">
        <f t="shared" si="0"/>
        <v>1</v>
      </c>
      <c r="I5" s="1">
        <v>1</v>
      </c>
    </row>
    <row r="6" spans="1:9" x14ac:dyDescent="0.45">
      <c r="A6" s="6" t="s">
        <v>151</v>
      </c>
      <c r="B6" s="143">
        <v>40</v>
      </c>
      <c r="C6" s="143"/>
      <c r="D6" s="143"/>
      <c r="E6" s="143"/>
      <c r="G6" s="1" t="b">
        <f>ISBLANK(B6)</f>
        <v>0</v>
      </c>
      <c r="H6" s="1">
        <f t="shared" si="0"/>
        <v>1</v>
      </c>
      <c r="I6" s="1">
        <v>1</v>
      </c>
    </row>
    <row r="7" spans="1:9" x14ac:dyDescent="0.45">
      <c r="A7"/>
      <c r="B7"/>
      <c r="C7"/>
      <c r="D7"/>
      <c r="E7"/>
      <c r="G7"/>
      <c r="H7"/>
      <c r="I7"/>
    </row>
    <row r="8" spans="1:9" ht="27" customHeight="1" x14ac:dyDescent="0.45">
      <c r="A8" s="125" t="s">
        <v>1</v>
      </c>
      <c r="B8" s="125"/>
      <c r="C8" s="125"/>
      <c r="D8" s="125"/>
      <c r="E8" s="125"/>
      <c r="G8" s="1">
        <f>IF(H8=0,0,IF(H8=I8,2,1))</f>
        <v>2</v>
      </c>
      <c r="H8" s="1">
        <f>SUM(H9:H25)</f>
        <v>17</v>
      </c>
      <c r="I8" s="1">
        <f>SUM(I9:I25)</f>
        <v>17</v>
      </c>
    </row>
    <row r="9" spans="1:9" x14ac:dyDescent="0.45">
      <c r="A9" s="3" t="s">
        <v>232</v>
      </c>
      <c r="B9" s="139">
        <v>300</v>
      </c>
      <c r="C9" s="139"/>
      <c r="D9" s="139"/>
      <c r="E9" s="139"/>
      <c r="G9" s="1" t="b">
        <f t="shared" ref="G9:G16" si="1">ISBLANK(B9)</f>
        <v>0</v>
      </c>
      <c r="H9" s="1">
        <f>IF(G9=FALSE,1,0)</f>
        <v>1</v>
      </c>
      <c r="I9" s="1">
        <v>1</v>
      </c>
    </row>
    <row r="10" spans="1:9" ht="28.5" customHeight="1" x14ac:dyDescent="0.45">
      <c r="A10" s="4" t="s">
        <v>207</v>
      </c>
      <c r="B10" s="135">
        <v>30</v>
      </c>
      <c r="C10" s="135"/>
      <c r="D10" s="135"/>
      <c r="E10" s="135"/>
      <c r="G10" s="1" t="b">
        <f t="shared" si="1"/>
        <v>0</v>
      </c>
      <c r="H10" s="1">
        <f t="shared" ref="H10:H25" si="2">IF(G10=FALSE,1,0)</f>
        <v>1</v>
      </c>
      <c r="I10" s="1">
        <v>1</v>
      </c>
    </row>
    <row r="11" spans="1:9" x14ac:dyDescent="0.45">
      <c r="A11" s="5" t="s">
        <v>218</v>
      </c>
      <c r="B11" s="140">
        <v>20</v>
      </c>
      <c r="C11" s="140"/>
      <c r="D11" s="140"/>
      <c r="E11" s="140"/>
      <c r="G11" s="1" t="b">
        <f t="shared" si="1"/>
        <v>0</v>
      </c>
      <c r="H11" s="1">
        <f t="shared" si="2"/>
        <v>1</v>
      </c>
      <c r="I11" s="1">
        <v>1</v>
      </c>
    </row>
    <row r="12" spans="1:9" x14ac:dyDescent="0.45">
      <c r="A12" s="4" t="s">
        <v>139</v>
      </c>
      <c r="B12" s="135">
        <v>230</v>
      </c>
      <c r="C12" s="135"/>
      <c r="D12" s="135"/>
      <c r="E12" s="135"/>
      <c r="G12" s="1" t="b">
        <f t="shared" si="1"/>
        <v>0</v>
      </c>
      <c r="H12" s="1">
        <f t="shared" si="2"/>
        <v>1</v>
      </c>
      <c r="I12" s="1">
        <v>1</v>
      </c>
    </row>
    <row r="13" spans="1:9" ht="28.5" x14ac:dyDescent="0.45">
      <c r="A13" s="5" t="s">
        <v>208</v>
      </c>
      <c r="B13" s="140">
        <v>50</v>
      </c>
      <c r="C13" s="140"/>
      <c r="D13" s="140"/>
      <c r="E13" s="140"/>
      <c r="G13" s="1" t="b">
        <f t="shared" si="1"/>
        <v>0</v>
      </c>
      <c r="H13" s="1">
        <f t="shared" si="2"/>
        <v>1</v>
      </c>
      <c r="I13" s="1">
        <v>1</v>
      </c>
    </row>
    <row r="14" spans="1:9" x14ac:dyDescent="0.45">
      <c r="A14" s="4" t="s">
        <v>240</v>
      </c>
      <c r="B14" s="135">
        <v>50</v>
      </c>
      <c r="C14" s="135"/>
      <c r="D14" s="135"/>
      <c r="E14" s="135"/>
      <c r="G14" s="1" t="b">
        <f t="shared" si="1"/>
        <v>0</v>
      </c>
      <c r="H14" s="1">
        <f t="shared" si="2"/>
        <v>1</v>
      </c>
      <c r="I14" s="1">
        <v>1</v>
      </c>
    </row>
    <row r="15" spans="1:9" x14ac:dyDescent="0.45">
      <c r="A15" s="5" t="s">
        <v>219</v>
      </c>
      <c r="B15" s="121" t="s">
        <v>45</v>
      </c>
      <c r="C15" s="121"/>
      <c r="D15" s="121"/>
      <c r="E15" s="121"/>
      <c r="G15" s="1" t="b">
        <f t="shared" si="1"/>
        <v>0</v>
      </c>
      <c r="H15" s="1">
        <f t="shared" si="2"/>
        <v>1</v>
      </c>
      <c r="I15" s="1">
        <v>1</v>
      </c>
    </row>
    <row r="16" spans="1:9" ht="33.75" customHeight="1" x14ac:dyDescent="0.45">
      <c r="A16" s="4" t="s">
        <v>183</v>
      </c>
      <c r="B16" s="120" t="s">
        <v>213</v>
      </c>
      <c r="C16" s="120"/>
      <c r="D16" s="120"/>
      <c r="E16" s="120"/>
      <c r="G16" s="1" t="b">
        <f t="shared" si="1"/>
        <v>0</v>
      </c>
      <c r="H16" s="1">
        <f t="shared" si="2"/>
        <v>1</v>
      </c>
      <c r="I16" s="1">
        <v>1</v>
      </c>
    </row>
    <row r="17" spans="1:9" ht="15" customHeight="1" x14ac:dyDescent="0.45">
      <c r="A17" s="127" t="s">
        <v>2</v>
      </c>
      <c r="B17" s="7" t="s">
        <v>141</v>
      </c>
      <c r="C17" s="121" t="s">
        <v>47</v>
      </c>
      <c r="D17" s="121"/>
      <c r="E17" s="121"/>
      <c r="G17" s="1" t="b">
        <f t="shared" ref="G17:G23" si="3">ISBLANK(C17)</f>
        <v>0</v>
      </c>
      <c r="H17" s="1">
        <f t="shared" si="2"/>
        <v>1</v>
      </c>
      <c r="I17" s="1">
        <v>1</v>
      </c>
    </row>
    <row r="18" spans="1:9" ht="28.5" x14ac:dyDescent="0.45">
      <c r="A18" s="127"/>
      <c r="B18" s="8" t="s">
        <v>143</v>
      </c>
      <c r="C18" s="120" t="s">
        <v>47</v>
      </c>
      <c r="D18" s="120"/>
      <c r="E18" s="120"/>
      <c r="G18" s="1" t="b">
        <f t="shared" si="3"/>
        <v>0</v>
      </c>
      <c r="H18" s="1">
        <f t="shared" si="2"/>
        <v>1</v>
      </c>
      <c r="I18" s="1">
        <v>1</v>
      </c>
    </row>
    <row r="19" spans="1:9" x14ac:dyDescent="0.45">
      <c r="A19" s="127"/>
      <c r="B19" s="7" t="s">
        <v>142</v>
      </c>
      <c r="C19" s="121" t="s">
        <v>47</v>
      </c>
      <c r="D19" s="121"/>
      <c r="E19" s="121"/>
      <c r="G19" s="1" t="b">
        <f t="shared" si="3"/>
        <v>0</v>
      </c>
      <c r="H19" s="1">
        <f t="shared" si="2"/>
        <v>1</v>
      </c>
      <c r="I19" s="1">
        <v>1</v>
      </c>
    </row>
    <row r="20" spans="1:9" x14ac:dyDescent="0.45">
      <c r="A20" s="127"/>
      <c r="B20" s="8" t="s">
        <v>144</v>
      </c>
      <c r="C20" s="120" t="s">
        <v>47</v>
      </c>
      <c r="D20" s="120"/>
      <c r="E20" s="120"/>
      <c r="G20" s="1" t="b">
        <f t="shared" si="3"/>
        <v>0</v>
      </c>
      <c r="H20" s="1">
        <f t="shared" si="2"/>
        <v>1</v>
      </c>
      <c r="I20" s="1">
        <v>1</v>
      </c>
    </row>
    <row r="21" spans="1:9" x14ac:dyDescent="0.45">
      <c r="A21" s="127"/>
      <c r="B21" s="7" t="s">
        <v>140</v>
      </c>
      <c r="C21" s="121" t="s">
        <v>47</v>
      </c>
      <c r="D21" s="121"/>
      <c r="E21" s="121"/>
      <c r="G21" s="1" t="b">
        <f t="shared" si="3"/>
        <v>0</v>
      </c>
      <c r="H21" s="1">
        <f t="shared" si="2"/>
        <v>1</v>
      </c>
      <c r="I21" s="1">
        <v>1</v>
      </c>
    </row>
    <row r="22" spans="1:9" x14ac:dyDescent="0.45">
      <c r="A22" s="127"/>
      <c r="B22" s="8" t="s">
        <v>145</v>
      </c>
      <c r="C22" s="120" t="s">
        <v>47</v>
      </c>
      <c r="D22" s="120"/>
      <c r="E22" s="120"/>
      <c r="G22" s="1" t="b">
        <f t="shared" si="3"/>
        <v>0</v>
      </c>
      <c r="H22" s="1">
        <f t="shared" si="2"/>
        <v>1</v>
      </c>
      <c r="I22" s="1">
        <v>1</v>
      </c>
    </row>
    <row r="23" spans="1:9" ht="57" x14ac:dyDescent="0.45">
      <c r="A23" s="127"/>
      <c r="B23" s="7" t="s">
        <v>152</v>
      </c>
      <c r="C23" s="121" t="s">
        <v>46</v>
      </c>
      <c r="D23" s="121"/>
      <c r="E23" s="121"/>
      <c r="G23" s="1" t="b">
        <f t="shared" si="3"/>
        <v>0</v>
      </c>
      <c r="H23" s="1">
        <f>IF(G23=FALSE,1,0)</f>
        <v>1</v>
      </c>
      <c r="I23" s="1">
        <v>1</v>
      </c>
    </row>
    <row r="24" spans="1:9" x14ac:dyDescent="0.45">
      <c r="A24" s="4" t="s">
        <v>3</v>
      </c>
      <c r="B24" s="120" t="s">
        <v>47</v>
      </c>
      <c r="C24" s="120"/>
      <c r="D24" s="120"/>
      <c r="E24" s="120"/>
      <c r="F24" s="112"/>
      <c r="G24" s="1" t="b">
        <f>ISBLANK(B24)</f>
        <v>0</v>
      </c>
      <c r="H24" s="1">
        <f t="shared" si="2"/>
        <v>1</v>
      </c>
      <c r="I24" s="1">
        <v>1</v>
      </c>
    </row>
    <row r="25" spans="1:9" ht="28.9" thickBot="1" x14ac:dyDescent="0.5">
      <c r="A25" s="6" t="s">
        <v>146</v>
      </c>
      <c r="B25" s="124" t="s">
        <v>47</v>
      </c>
      <c r="C25" s="124"/>
      <c r="D25" s="124"/>
      <c r="E25" s="124"/>
      <c r="G25" s="1" t="b">
        <f>ISBLANK(B25)</f>
        <v>0</v>
      </c>
      <c r="H25" s="1">
        <f t="shared" si="2"/>
        <v>1</v>
      </c>
      <c r="I25" s="1">
        <v>1</v>
      </c>
    </row>
    <row r="26" spans="1:9" x14ac:dyDescent="0.45">
      <c r="A26"/>
      <c r="B26"/>
      <c r="C26"/>
      <c r="D26"/>
      <c r="E26"/>
      <c r="G26"/>
      <c r="H26"/>
      <c r="I26"/>
    </row>
    <row r="27" spans="1:9" ht="27" customHeight="1" x14ac:dyDescent="0.45">
      <c r="A27" s="125" t="s">
        <v>4</v>
      </c>
      <c r="B27" s="125"/>
      <c r="C27" s="125"/>
      <c r="D27" s="125"/>
      <c r="E27" s="125"/>
      <c r="G27" s="1">
        <f>IF(H27=0,0,IF(H27=I27,2,1))</f>
        <v>2</v>
      </c>
      <c r="H27" s="1">
        <f>SUM(H28:H40)</f>
        <v>13</v>
      </c>
      <c r="I27" s="1">
        <f>SUM(I28:I40)</f>
        <v>13</v>
      </c>
    </row>
    <row r="28" spans="1:9" x14ac:dyDescent="0.45">
      <c r="A28" s="3" t="s">
        <v>209</v>
      </c>
      <c r="B28" s="139">
        <v>39</v>
      </c>
      <c r="C28" s="139"/>
      <c r="D28" s="139"/>
      <c r="E28" s="139"/>
      <c r="G28" s="1" t="b">
        <f>ISBLANK(B28)</f>
        <v>0</v>
      </c>
      <c r="H28" s="1">
        <f>IF(G28=FALSE,1,0)</f>
        <v>1</v>
      </c>
      <c r="I28" s="1">
        <v>1</v>
      </c>
    </row>
    <row r="29" spans="1:9" x14ac:dyDescent="0.45">
      <c r="A29" s="4" t="s">
        <v>5</v>
      </c>
      <c r="B29" s="120" t="s">
        <v>244</v>
      </c>
      <c r="C29" s="120"/>
      <c r="D29" s="120"/>
      <c r="E29" s="120"/>
      <c r="G29" s="1" t="b">
        <f>ISBLANK(B29)</f>
        <v>0</v>
      </c>
      <c r="H29" s="1">
        <f t="shared" ref="H29:H40" si="4">IF(G29=FALSE,1,0)</f>
        <v>1</v>
      </c>
      <c r="I29" s="1">
        <v>1</v>
      </c>
    </row>
    <row r="30" spans="1:9" x14ac:dyDescent="0.45">
      <c r="A30" s="5" t="s">
        <v>6</v>
      </c>
      <c r="B30" s="121" t="s">
        <v>56</v>
      </c>
      <c r="C30" s="121"/>
      <c r="D30" s="121"/>
      <c r="E30" s="121"/>
      <c r="G30" s="1" t="b">
        <f>ISBLANK(B30)</f>
        <v>0</v>
      </c>
      <c r="H30" s="1">
        <f t="shared" si="4"/>
        <v>1</v>
      </c>
      <c r="I30" s="1">
        <v>1</v>
      </c>
    </row>
    <row r="31" spans="1:9" x14ac:dyDescent="0.45">
      <c r="A31" s="4" t="s">
        <v>7</v>
      </c>
      <c r="B31" s="120" t="s">
        <v>59</v>
      </c>
      <c r="C31" s="120"/>
      <c r="D31" s="120"/>
      <c r="E31" s="120"/>
      <c r="G31" s="1" t="b">
        <f>ISBLANK(B31)</f>
        <v>0</v>
      </c>
      <c r="H31" s="1">
        <f t="shared" si="4"/>
        <v>1</v>
      </c>
      <c r="I31" s="1">
        <v>1</v>
      </c>
    </row>
    <row r="32" spans="1:9" x14ac:dyDescent="0.45">
      <c r="A32" s="5" t="s">
        <v>8</v>
      </c>
      <c r="B32" s="121" t="s">
        <v>59</v>
      </c>
      <c r="C32" s="121"/>
      <c r="D32" s="121"/>
      <c r="E32" s="121"/>
      <c r="G32" s="1" t="b">
        <f>ISBLANK(B32)</f>
        <v>0</v>
      </c>
      <c r="H32" s="1">
        <f t="shared" si="4"/>
        <v>1</v>
      </c>
      <c r="I32" s="1">
        <v>1</v>
      </c>
    </row>
    <row r="33" spans="1:9" ht="15" customHeight="1" x14ac:dyDescent="0.45">
      <c r="A33" s="128" t="s">
        <v>9</v>
      </c>
      <c r="B33" s="8" t="s">
        <v>10</v>
      </c>
      <c r="C33" s="120" t="s">
        <v>47</v>
      </c>
      <c r="D33" s="120"/>
      <c r="E33" s="120"/>
      <c r="G33" s="1" t="b">
        <f>ISBLANK(C33)</f>
        <v>0</v>
      </c>
      <c r="H33" s="1">
        <f t="shared" si="4"/>
        <v>1</v>
      </c>
      <c r="I33" s="1">
        <v>1</v>
      </c>
    </row>
    <row r="34" spans="1:9" x14ac:dyDescent="0.45">
      <c r="A34" s="128"/>
      <c r="B34" s="7" t="s">
        <v>11</v>
      </c>
      <c r="C34" s="121" t="s">
        <v>47</v>
      </c>
      <c r="D34" s="121"/>
      <c r="E34" s="121"/>
      <c r="G34" s="1" t="b">
        <f>ISBLANK(C34)</f>
        <v>0</v>
      </c>
      <c r="H34" s="1">
        <f t="shared" si="4"/>
        <v>1</v>
      </c>
      <c r="I34" s="1">
        <v>1</v>
      </c>
    </row>
    <row r="35" spans="1:9" x14ac:dyDescent="0.45">
      <c r="A35" s="128"/>
      <c r="B35" s="8" t="s">
        <v>12</v>
      </c>
      <c r="C35" s="120" t="s">
        <v>47</v>
      </c>
      <c r="D35" s="120"/>
      <c r="E35" s="120"/>
      <c r="G35" s="1" t="b">
        <f>ISBLANK(C35)</f>
        <v>0</v>
      </c>
      <c r="H35" s="1">
        <f t="shared" si="4"/>
        <v>1</v>
      </c>
      <c r="I35" s="1">
        <v>1</v>
      </c>
    </row>
    <row r="36" spans="1:9" x14ac:dyDescent="0.45">
      <c r="A36" s="128"/>
      <c r="B36" s="7" t="s">
        <v>13</v>
      </c>
      <c r="C36" s="121" t="s">
        <v>46</v>
      </c>
      <c r="D36" s="121"/>
      <c r="E36" s="121"/>
      <c r="G36" s="1" t="b">
        <f>ISBLANK(C36)</f>
        <v>0</v>
      </c>
      <c r="H36" s="1">
        <f t="shared" si="4"/>
        <v>1</v>
      </c>
      <c r="I36" s="1">
        <v>1</v>
      </c>
    </row>
    <row r="37" spans="1:9" x14ac:dyDescent="0.45">
      <c r="A37" s="5" t="s">
        <v>153</v>
      </c>
      <c r="B37" s="121" t="s">
        <v>63</v>
      </c>
      <c r="C37" s="121"/>
      <c r="D37" s="121"/>
      <c r="E37" s="121"/>
      <c r="G37" s="1" t="b">
        <f>ISBLANK(B37)</f>
        <v>0</v>
      </c>
      <c r="H37" s="1">
        <f t="shared" si="4"/>
        <v>1</v>
      </c>
      <c r="I37" s="1">
        <v>1</v>
      </c>
    </row>
    <row r="38" spans="1:9" x14ac:dyDescent="0.45">
      <c r="A38" s="4" t="s">
        <v>237</v>
      </c>
      <c r="B38" s="135">
        <v>30</v>
      </c>
      <c r="C38" s="135"/>
      <c r="D38" s="135"/>
      <c r="E38" s="135"/>
      <c r="G38" s="1" t="b">
        <f>ISBLANK(B38)</f>
        <v>0</v>
      </c>
      <c r="H38" s="1">
        <f t="shared" si="4"/>
        <v>1</v>
      </c>
      <c r="I38" s="1">
        <v>1</v>
      </c>
    </row>
    <row r="39" spans="1:9" x14ac:dyDescent="0.45">
      <c r="A39" s="5" t="s">
        <v>14</v>
      </c>
      <c r="B39" s="121" t="s">
        <v>58</v>
      </c>
      <c r="C39" s="121"/>
      <c r="D39" s="121"/>
      <c r="E39" s="121"/>
      <c r="G39" s="1" t="b">
        <f>ISBLANK(B39)</f>
        <v>0</v>
      </c>
      <c r="H39" s="1">
        <f t="shared" si="4"/>
        <v>1</v>
      </c>
      <c r="I39" s="1">
        <v>1</v>
      </c>
    </row>
    <row r="40" spans="1:9" ht="14.65" thickBot="1" x14ac:dyDescent="0.5">
      <c r="A40" s="9" t="s">
        <v>15</v>
      </c>
      <c r="B40" s="120" t="s">
        <v>67</v>
      </c>
      <c r="C40" s="120"/>
      <c r="D40" s="120"/>
      <c r="E40" s="120"/>
      <c r="F40" s="112"/>
      <c r="G40" s="1" t="b">
        <f>ISBLANK(B40)</f>
        <v>0</v>
      </c>
      <c r="H40" s="1">
        <f t="shared" si="4"/>
        <v>1</v>
      </c>
      <c r="I40" s="1">
        <v>1</v>
      </c>
    </row>
    <row r="41" spans="1:9" ht="14.65" thickBot="1" x14ac:dyDescent="0.5">
      <c r="A41"/>
      <c r="B41"/>
      <c r="C41"/>
      <c r="D41"/>
      <c r="E41"/>
      <c r="G41"/>
      <c r="H41"/>
      <c r="I41"/>
    </row>
    <row r="42" spans="1:9" ht="27" customHeight="1" x14ac:dyDescent="0.45">
      <c r="A42" s="125" t="s">
        <v>16</v>
      </c>
      <c r="B42" s="125"/>
      <c r="C42" s="125"/>
      <c r="D42" s="125"/>
      <c r="E42" s="125"/>
      <c r="G42" s="1">
        <f>IF(H42=0,0,IF(H42=I42,2,1))</f>
        <v>1</v>
      </c>
      <c r="H42" s="1">
        <f>SUM(H43:H55)</f>
        <v>12</v>
      </c>
      <c r="I42" s="1">
        <f>SUM(I43:I55)</f>
        <v>13</v>
      </c>
    </row>
    <row r="43" spans="1:9" ht="15" customHeight="1" x14ac:dyDescent="0.45">
      <c r="A43" s="136" t="s">
        <v>178</v>
      </c>
      <c r="B43" s="126"/>
      <c r="C43" s="126"/>
      <c r="D43" s="126"/>
      <c r="E43" s="126"/>
      <c r="G43" s="1" t="b">
        <f>ISBLANK(B43)</f>
        <v>1</v>
      </c>
      <c r="H43" s="1">
        <f>IF(G43=FALSE,1,0)</f>
        <v>0</v>
      </c>
      <c r="I43" s="1">
        <v>1</v>
      </c>
    </row>
    <row r="44" spans="1:9" ht="33" customHeight="1" x14ac:dyDescent="0.45">
      <c r="A44" s="136"/>
      <c r="B44" s="137" t="s">
        <v>17</v>
      </c>
      <c r="C44" s="137" t="s">
        <v>18</v>
      </c>
      <c r="D44" s="137"/>
      <c r="E44" s="10" t="s">
        <v>47</v>
      </c>
      <c r="G44" s="1" t="b">
        <f>ISBLANK(E44)</f>
        <v>0</v>
      </c>
      <c r="H44" s="1">
        <f t="shared" ref="H44:H55" si="5">IF(G44=FALSE,1,0)</f>
        <v>1</v>
      </c>
      <c r="I44" s="1">
        <v>1</v>
      </c>
    </row>
    <row r="45" spans="1:9" ht="33" customHeight="1" x14ac:dyDescent="0.45">
      <c r="A45" s="136"/>
      <c r="B45" s="137"/>
      <c r="C45" s="138" t="s">
        <v>19</v>
      </c>
      <c r="D45" s="138"/>
      <c r="E45" s="11" t="s">
        <v>47</v>
      </c>
      <c r="G45" s="1" t="b">
        <f>ISBLANK(E45)</f>
        <v>0</v>
      </c>
      <c r="H45" s="1">
        <f t="shared" si="5"/>
        <v>1</v>
      </c>
      <c r="I45" s="1">
        <v>1</v>
      </c>
    </row>
    <row r="46" spans="1:9" ht="28.5" x14ac:dyDescent="0.45">
      <c r="A46" s="4" t="s">
        <v>231</v>
      </c>
      <c r="B46" s="120" t="s">
        <v>216</v>
      </c>
      <c r="C46" s="120"/>
      <c r="D46" s="120"/>
      <c r="E46" s="120"/>
      <c r="G46" s="1" t="b">
        <f t="shared" ref="G46:G55" si="6">ISBLANK(B46)</f>
        <v>0</v>
      </c>
      <c r="H46" s="1">
        <f t="shared" si="5"/>
        <v>1</v>
      </c>
      <c r="I46" s="1">
        <v>1</v>
      </c>
    </row>
    <row r="47" spans="1:9" x14ac:dyDescent="0.45">
      <c r="A47" s="5" t="s">
        <v>20</v>
      </c>
      <c r="B47" s="121" t="s">
        <v>71</v>
      </c>
      <c r="C47" s="121"/>
      <c r="D47" s="121"/>
      <c r="E47" s="121"/>
      <c r="G47" s="1" t="b">
        <f t="shared" si="6"/>
        <v>0</v>
      </c>
      <c r="H47" s="1">
        <f t="shared" si="5"/>
        <v>1</v>
      </c>
      <c r="I47" s="1">
        <v>1</v>
      </c>
    </row>
    <row r="48" spans="1:9" x14ac:dyDescent="0.45">
      <c r="A48" s="4" t="s">
        <v>220</v>
      </c>
      <c r="B48" s="120" t="s">
        <v>67</v>
      </c>
      <c r="C48" s="120"/>
      <c r="D48" s="120"/>
      <c r="E48" s="120"/>
      <c r="F48" s="112"/>
      <c r="G48" s="1" t="b">
        <f t="shared" si="6"/>
        <v>0</v>
      </c>
      <c r="H48" s="1">
        <f t="shared" si="5"/>
        <v>1</v>
      </c>
      <c r="I48" s="1">
        <v>1</v>
      </c>
    </row>
    <row r="49" spans="1:9" x14ac:dyDescent="0.45">
      <c r="A49" s="5" t="s">
        <v>136</v>
      </c>
      <c r="B49" s="121" t="s">
        <v>74</v>
      </c>
      <c r="C49" s="121"/>
      <c r="D49" s="121"/>
      <c r="E49" s="121"/>
      <c r="G49" s="1" t="b">
        <f t="shared" si="6"/>
        <v>0</v>
      </c>
      <c r="H49" s="1">
        <f t="shared" si="5"/>
        <v>1</v>
      </c>
      <c r="I49" s="1">
        <v>1</v>
      </c>
    </row>
    <row r="50" spans="1:9" ht="28.5" x14ac:dyDescent="0.45">
      <c r="A50" s="4" t="s">
        <v>21</v>
      </c>
      <c r="B50" s="120" t="s">
        <v>76</v>
      </c>
      <c r="C50" s="120"/>
      <c r="D50" s="120"/>
      <c r="E50" s="120"/>
      <c r="G50" s="1" t="b">
        <f t="shared" si="6"/>
        <v>0</v>
      </c>
      <c r="H50" s="1">
        <f t="shared" si="5"/>
        <v>1</v>
      </c>
      <c r="I50" s="1">
        <v>1</v>
      </c>
    </row>
    <row r="51" spans="1:9" x14ac:dyDescent="0.45">
      <c r="A51" s="5" t="s">
        <v>22</v>
      </c>
      <c r="B51" s="121" t="s">
        <v>46</v>
      </c>
      <c r="C51" s="121"/>
      <c r="D51" s="121"/>
      <c r="E51" s="121"/>
      <c r="G51" s="1" t="b">
        <f t="shared" si="6"/>
        <v>0</v>
      </c>
      <c r="H51" s="1">
        <f t="shared" si="5"/>
        <v>1</v>
      </c>
      <c r="I51" s="1">
        <v>1</v>
      </c>
    </row>
    <row r="52" spans="1:9" x14ac:dyDescent="0.45">
      <c r="A52" s="4" t="s">
        <v>23</v>
      </c>
      <c r="B52" s="120" t="s">
        <v>46</v>
      </c>
      <c r="C52" s="120"/>
      <c r="D52" s="120"/>
      <c r="E52" s="120"/>
      <c r="G52" s="1" t="b">
        <f t="shared" si="6"/>
        <v>0</v>
      </c>
      <c r="H52" s="1">
        <f t="shared" si="5"/>
        <v>1</v>
      </c>
      <c r="I52" s="1">
        <v>1</v>
      </c>
    </row>
    <row r="53" spans="1:9" x14ac:dyDescent="0.45">
      <c r="A53" s="5" t="s">
        <v>134</v>
      </c>
      <c r="B53" s="121" t="s">
        <v>47</v>
      </c>
      <c r="C53" s="121"/>
      <c r="D53" s="121"/>
      <c r="E53" s="121"/>
      <c r="G53" s="1" t="b">
        <f t="shared" si="6"/>
        <v>0</v>
      </c>
      <c r="H53" s="1">
        <f t="shared" si="5"/>
        <v>1</v>
      </c>
      <c r="I53" s="1">
        <v>1</v>
      </c>
    </row>
    <row r="54" spans="1:9" x14ac:dyDescent="0.45">
      <c r="A54" s="4" t="s">
        <v>24</v>
      </c>
      <c r="B54" s="120" t="s">
        <v>80</v>
      </c>
      <c r="C54" s="120"/>
      <c r="D54" s="120"/>
      <c r="E54" s="120"/>
      <c r="G54" s="1" t="b">
        <f t="shared" si="6"/>
        <v>0</v>
      </c>
      <c r="H54" s="1">
        <f t="shared" si="5"/>
        <v>1</v>
      </c>
      <c r="I54" s="1">
        <v>1</v>
      </c>
    </row>
    <row r="55" spans="1:9" ht="27.85" customHeight="1" x14ac:dyDescent="0.45">
      <c r="A55" s="6" t="s">
        <v>167</v>
      </c>
      <c r="B55" s="124" t="s">
        <v>166</v>
      </c>
      <c r="C55" s="124"/>
      <c r="D55" s="124"/>
      <c r="E55" s="124"/>
      <c r="G55" s="1" t="b">
        <f t="shared" si="6"/>
        <v>0</v>
      </c>
      <c r="H55" s="1">
        <f t="shared" si="5"/>
        <v>1</v>
      </c>
      <c r="I55" s="1">
        <v>1</v>
      </c>
    </row>
    <row r="56" spans="1:9" x14ac:dyDescent="0.45">
      <c r="A56"/>
      <c r="B56"/>
      <c r="C56"/>
      <c r="D56"/>
      <c r="E56"/>
      <c r="G56"/>
      <c r="H56"/>
      <c r="I56"/>
    </row>
    <row r="57" spans="1:9" ht="27" customHeight="1" x14ac:dyDescent="0.45">
      <c r="A57" s="125" t="s">
        <v>158</v>
      </c>
      <c r="B57" s="125"/>
      <c r="C57" s="125"/>
      <c r="D57" s="125"/>
      <c r="E57" s="125"/>
      <c r="G57" s="1">
        <f>IF(H57=0,0,IF(H57=I57,2,1))</f>
        <v>2</v>
      </c>
      <c r="H57" s="1">
        <f>SUM(H58:H76)</f>
        <v>19</v>
      </c>
      <c r="I57" s="1">
        <f>SUM(I58:I76)</f>
        <v>19</v>
      </c>
    </row>
    <row r="58" spans="1:9" x14ac:dyDescent="0.45">
      <c r="A58" s="12" t="s">
        <v>238</v>
      </c>
      <c r="B58" s="126" t="s">
        <v>46</v>
      </c>
      <c r="C58" s="126"/>
      <c r="D58" s="126"/>
      <c r="E58" s="126"/>
      <c r="G58" s="1" t="b">
        <f t="shared" ref="G58:G67" si="7">ISBLANK(B58)</f>
        <v>0</v>
      </c>
      <c r="H58" s="1">
        <f>IF(G58=FALSE,1,0)</f>
        <v>1</v>
      </c>
      <c r="I58" s="1">
        <v>1</v>
      </c>
    </row>
    <row r="59" spans="1:9" ht="28.5" x14ac:dyDescent="0.45">
      <c r="A59" s="4" t="s">
        <v>224</v>
      </c>
      <c r="B59" s="129" t="s">
        <v>83</v>
      </c>
      <c r="C59" s="130"/>
      <c r="D59" s="130"/>
      <c r="E59" s="131"/>
      <c r="F59" s="112"/>
      <c r="G59" s="1" t="b">
        <f t="shared" si="7"/>
        <v>0</v>
      </c>
      <c r="H59" s="1">
        <f t="shared" ref="H59:H76" si="8">IF(G59=FALSE,1,0)</f>
        <v>1</v>
      </c>
      <c r="I59" s="1">
        <v>1</v>
      </c>
    </row>
    <row r="60" spans="1:9" ht="30" customHeight="1" x14ac:dyDescent="0.45">
      <c r="A60" s="5" t="s">
        <v>160</v>
      </c>
      <c r="B60" s="132" t="s">
        <v>223</v>
      </c>
      <c r="C60" s="133"/>
      <c r="D60" s="133"/>
      <c r="E60" s="134"/>
      <c r="G60" s="1" t="b">
        <f t="shared" si="7"/>
        <v>0</v>
      </c>
      <c r="H60" s="1">
        <f t="shared" si="8"/>
        <v>1</v>
      </c>
      <c r="I60" s="1">
        <v>1</v>
      </c>
    </row>
    <row r="61" spans="1:9" x14ac:dyDescent="0.45">
      <c r="A61" s="4" t="s">
        <v>225</v>
      </c>
      <c r="B61" s="129" t="s">
        <v>227</v>
      </c>
      <c r="C61" s="130"/>
      <c r="D61" s="130"/>
      <c r="E61" s="131"/>
      <c r="F61" s="112"/>
      <c r="G61" s="1" t="b">
        <f t="shared" si="7"/>
        <v>0</v>
      </c>
      <c r="H61" s="1">
        <f t="shared" si="8"/>
        <v>1</v>
      </c>
      <c r="I61" s="1">
        <v>1</v>
      </c>
    </row>
    <row r="62" spans="1:9" x14ac:dyDescent="0.45">
      <c r="A62" s="5" t="s">
        <v>159</v>
      </c>
      <c r="B62" s="132" t="s">
        <v>46</v>
      </c>
      <c r="C62" s="133"/>
      <c r="D62" s="133"/>
      <c r="E62" s="134"/>
      <c r="G62" s="1" t="b">
        <f t="shared" si="7"/>
        <v>0</v>
      </c>
      <c r="H62" s="1">
        <f t="shared" si="8"/>
        <v>1</v>
      </c>
      <c r="I62" s="1">
        <v>1</v>
      </c>
    </row>
    <row r="63" spans="1:9" x14ac:dyDescent="0.45">
      <c r="A63" s="4" t="s">
        <v>135</v>
      </c>
      <c r="B63" s="120" t="s">
        <v>86</v>
      </c>
      <c r="C63" s="120"/>
      <c r="D63" s="120"/>
      <c r="E63" s="120"/>
      <c r="G63" s="1" t="b">
        <f t="shared" si="7"/>
        <v>0</v>
      </c>
      <c r="H63" s="1">
        <f t="shared" si="8"/>
        <v>1</v>
      </c>
      <c r="I63" s="1">
        <v>1</v>
      </c>
    </row>
    <row r="64" spans="1:9" x14ac:dyDescent="0.45">
      <c r="A64" s="5" t="s">
        <v>168</v>
      </c>
      <c r="B64" s="121" t="s">
        <v>47</v>
      </c>
      <c r="C64" s="121"/>
      <c r="D64" s="121"/>
      <c r="E64" s="121"/>
      <c r="G64" s="1" t="b">
        <f t="shared" si="7"/>
        <v>0</v>
      </c>
      <c r="H64" s="1">
        <f t="shared" si="8"/>
        <v>1</v>
      </c>
      <c r="I64" s="1">
        <v>1</v>
      </c>
    </row>
    <row r="65" spans="1:9" ht="33" customHeight="1" x14ac:dyDescent="0.45">
      <c r="A65" s="4" t="s">
        <v>184</v>
      </c>
      <c r="B65" s="120" t="s">
        <v>46</v>
      </c>
      <c r="C65" s="120"/>
      <c r="D65" s="120"/>
      <c r="E65" s="120"/>
      <c r="F65" s="113"/>
      <c r="G65" s="1" t="b">
        <f t="shared" si="7"/>
        <v>0</v>
      </c>
      <c r="H65" s="1">
        <f t="shared" si="8"/>
        <v>1</v>
      </c>
      <c r="I65" s="1">
        <v>1</v>
      </c>
    </row>
    <row r="66" spans="1:9" ht="28.5" x14ac:dyDescent="0.45">
      <c r="A66" s="5" t="s">
        <v>185</v>
      </c>
      <c r="B66" s="121" t="s">
        <v>138</v>
      </c>
      <c r="C66" s="121"/>
      <c r="D66" s="121"/>
      <c r="E66" s="121"/>
      <c r="F66" s="112"/>
      <c r="G66" s="1" t="b">
        <f t="shared" si="7"/>
        <v>0</v>
      </c>
      <c r="H66" s="1">
        <f t="shared" si="8"/>
        <v>1</v>
      </c>
      <c r="I66" s="1">
        <v>1</v>
      </c>
    </row>
    <row r="67" spans="1:9" x14ac:dyDescent="0.45">
      <c r="A67" s="4" t="s">
        <v>228</v>
      </c>
      <c r="B67" s="120" t="s">
        <v>47</v>
      </c>
      <c r="C67" s="120"/>
      <c r="D67" s="120"/>
      <c r="E67" s="120"/>
      <c r="G67" s="1" t="b">
        <f t="shared" si="7"/>
        <v>0</v>
      </c>
      <c r="H67" s="1">
        <f t="shared" si="8"/>
        <v>1</v>
      </c>
      <c r="I67" s="1">
        <v>1</v>
      </c>
    </row>
    <row r="68" spans="1:9" ht="57" x14ac:dyDescent="0.45">
      <c r="A68" s="127" t="s">
        <v>171</v>
      </c>
      <c r="B68" s="7" t="s">
        <v>169</v>
      </c>
      <c r="C68" s="121" t="s">
        <v>47</v>
      </c>
      <c r="D68" s="121"/>
      <c r="E68" s="121"/>
      <c r="G68" s="1" t="b">
        <f t="shared" ref="G68:G73" si="9">ISBLANK(C68)</f>
        <v>0</v>
      </c>
      <c r="H68" s="1">
        <f t="shared" si="8"/>
        <v>1</v>
      </c>
      <c r="I68" s="1">
        <v>1</v>
      </c>
    </row>
    <row r="69" spans="1:9" x14ac:dyDescent="0.45">
      <c r="A69" s="127"/>
      <c r="B69" s="8" t="s">
        <v>170</v>
      </c>
      <c r="C69" s="120" t="s">
        <v>46</v>
      </c>
      <c r="D69" s="120"/>
      <c r="E69" s="120"/>
      <c r="G69" s="1" t="b">
        <f t="shared" si="9"/>
        <v>0</v>
      </c>
      <c r="H69" s="1">
        <f t="shared" si="8"/>
        <v>1</v>
      </c>
      <c r="I69" s="1">
        <v>1</v>
      </c>
    </row>
    <row r="70" spans="1:9" x14ac:dyDescent="0.45">
      <c r="A70" s="127"/>
      <c r="B70" s="7" t="s">
        <v>147</v>
      </c>
      <c r="C70" s="121" t="s">
        <v>46</v>
      </c>
      <c r="D70" s="121"/>
      <c r="E70" s="121"/>
      <c r="G70" s="1" t="b">
        <f t="shared" si="9"/>
        <v>0</v>
      </c>
      <c r="H70" s="1">
        <f t="shared" si="8"/>
        <v>1</v>
      </c>
      <c r="I70" s="1">
        <v>1</v>
      </c>
    </row>
    <row r="71" spans="1:9" ht="57" x14ac:dyDescent="0.45">
      <c r="A71" s="128" t="s">
        <v>172</v>
      </c>
      <c r="B71" s="8" t="s">
        <v>169</v>
      </c>
      <c r="C71" s="120" t="s">
        <v>47</v>
      </c>
      <c r="D71" s="120"/>
      <c r="E71" s="120"/>
      <c r="G71" s="1" t="b">
        <f t="shared" si="9"/>
        <v>0</v>
      </c>
      <c r="H71" s="1">
        <f t="shared" si="8"/>
        <v>1</v>
      </c>
      <c r="I71" s="1">
        <v>1</v>
      </c>
    </row>
    <row r="72" spans="1:9" x14ac:dyDescent="0.45">
      <c r="A72" s="128"/>
      <c r="B72" s="7" t="s">
        <v>170</v>
      </c>
      <c r="C72" s="121" t="s">
        <v>46</v>
      </c>
      <c r="D72" s="121"/>
      <c r="E72" s="121"/>
      <c r="G72" s="1" t="b">
        <f t="shared" si="9"/>
        <v>0</v>
      </c>
      <c r="H72" s="1">
        <f t="shared" si="8"/>
        <v>1</v>
      </c>
      <c r="I72" s="1">
        <v>1</v>
      </c>
    </row>
    <row r="73" spans="1:9" x14ac:dyDescent="0.45">
      <c r="A73" s="128"/>
      <c r="B73" s="8" t="s">
        <v>147</v>
      </c>
      <c r="C73" s="120" t="s">
        <v>46</v>
      </c>
      <c r="D73" s="120"/>
      <c r="E73" s="120"/>
      <c r="G73" s="1" t="b">
        <f t="shared" si="9"/>
        <v>0</v>
      </c>
      <c r="H73" s="1">
        <f t="shared" si="8"/>
        <v>1</v>
      </c>
      <c r="I73" s="1">
        <v>1</v>
      </c>
    </row>
    <row r="74" spans="1:9" x14ac:dyDescent="0.45">
      <c r="A74" s="5" t="s">
        <v>25</v>
      </c>
      <c r="B74" s="121" t="s">
        <v>90</v>
      </c>
      <c r="C74" s="121"/>
      <c r="D74" s="121"/>
      <c r="E74" s="121"/>
      <c r="F74" s="112"/>
      <c r="G74" s="1" t="b">
        <f>ISBLANK(B74)</f>
        <v>0</v>
      </c>
      <c r="H74" s="1">
        <f t="shared" si="8"/>
        <v>1</v>
      </c>
      <c r="I74" s="1">
        <v>1</v>
      </c>
    </row>
    <row r="75" spans="1:9" x14ac:dyDescent="0.45">
      <c r="A75" s="4" t="s">
        <v>26</v>
      </c>
      <c r="B75" s="120" t="s">
        <v>47</v>
      </c>
      <c r="C75" s="120"/>
      <c r="D75" s="120"/>
      <c r="E75" s="120"/>
      <c r="G75" s="1" t="b">
        <f>ISBLANK(B75)</f>
        <v>0</v>
      </c>
      <c r="H75" s="1">
        <f t="shared" si="8"/>
        <v>1</v>
      </c>
      <c r="I75" s="1">
        <v>1</v>
      </c>
    </row>
    <row r="76" spans="1:9" ht="14.65" thickBot="1" x14ac:dyDescent="0.5">
      <c r="A76" s="6" t="s">
        <v>201</v>
      </c>
      <c r="B76" s="124" t="s">
        <v>92</v>
      </c>
      <c r="C76" s="124"/>
      <c r="D76" s="124"/>
      <c r="E76" s="124"/>
      <c r="F76" s="114"/>
      <c r="G76" s="1" t="b">
        <f>ISBLANK(B76)</f>
        <v>0</v>
      </c>
      <c r="H76" s="1">
        <f t="shared" si="8"/>
        <v>1</v>
      </c>
      <c r="I76" s="1">
        <v>1</v>
      </c>
    </row>
    <row r="77" spans="1:9" ht="14.65" thickBot="1" x14ac:dyDescent="0.5">
      <c r="A77"/>
      <c r="B77"/>
      <c r="C77"/>
      <c r="D77"/>
      <c r="E77"/>
      <c r="G77"/>
      <c r="H77"/>
      <c r="I77"/>
    </row>
    <row r="78" spans="1:9" ht="27" customHeight="1" thickBot="1" x14ac:dyDescent="0.5">
      <c r="A78" s="125" t="s">
        <v>27</v>
      </c>
      <c r="B78" s="125"/>
      <c r="C78" s="125"/>
      <c r="D78" s="125"/>
      <c r="E78" s="125"/>
      <c r="G78" s="1">
        <f>IF(H78=0,0,IF(H78=I78,2,1))</f>
        <v>2</v>
      </c>
      <c r="H78" s="1">
        <f>SUM(H79:H89)</f>
        <v>11</v>
      </c>
      <c r="I78" s="1">
        <f>SUM(I79:I89)</f>
        <v>11</v>
      </c>
    </row>
    <row r="79" spans="1:9" ht="28.5" x14ac:dyDescent="0.45">
      <c r="A79" s="116" t="s">
        <v>173</v>
      </c>
      <c r="B79" s="121" t="s">
        <v>46</v>
      </c>
      <c r="C79" s="121"/>
      <c r="D79" s="121"/>
      <c r="E79" s="121"/>
      <c r="F79" s="112"/>
      <c r="G79" s="1" t="b">
        <f t="shared" ref="G79:G89" si="10">ISBLANK(B79)</f>
        <v>0</v>
      </c>
      <c r="H79" s="1">
        <f>IF(G79=FALSE,1,0)</f>
        <v>1</v>
      </c>
      <c r="I79" s="1">
        <v>1</v>
      </c>
    </row>
    <row r="80" spans="1:9" ht="28.5" x14ac:dyDescent="0.45">
      <c r="A80" s="4" t="s">
        <v>174</v>
      </c>
      <c r="B80" s="120" t="s">
        <v>47</v>
      </c>
      <c r="C80" s="120"/>
      <c r="D80" s="120"/>
      <c r="E80" s="120"/>
      <c r="G80" s="1" t="b">
        <f t="shared" si="10"/>
        <v>0</v>
      </c>
      <c r="H80" s="1">
        <f t="shared" ref="H80:H89" si="11">IF(G80=FALSE,1,0)</f>
        <v>1</v>
      </c>
      <c r="I80" s="1">
        <v>1</v>
      </c>
    </row>
    <row r="81" spans="1:9" ht="28.5" x14ac:dyDescent="0.45">
      <c r="A81" s="5" t="s">
        <v>175</v>
      </c>
      <c r="B81" s="121" t="s">
        <v>47</v>
      </c>
      <c r="C81" s="121"/>
      <c r="D81" s="121"/>
      <c r="E81" s="121"/>
      <c r="G81" s="1" t="b">
        <f t="shared" si="10"/>
        <v>0</v>
      </c>
      <c r="H81" s="1">
        <f t="shared" si="11"/>
        <v>1</v>
      </c>
      <c r="I81" s="1">
        <v>1</v>
      </c>
    </row>
    <row r="82" spans="1:9" x14ac:dyDescent="0.45">
      <c r="A82" s="4" t="s">
        <v>202</v>
      </c>
      <c r="B82" s="120" t="s">
        <v>98</v>
      </c>
      <c r="C82" s="120"/>
      <c r="D82" s="120"/>
      <c r="E82" s="120"/>
      <c r="G82" s="1" t="b">
        <f t="shared" si="10"/>
        <v>0</v>
      </c>
      <c r="H82" s="1">
        <f t="shared" si="11"/>
        <v>1</v>
      </c>
      <c r="I82" s="1">
        <v>1</v>
      </c>
    </row>
    <row r="83" spans="1:9" ht="28.5" x14ac:dyDescent="0.45">
      <c r="A83" s="5" t="s">
        <v>28</v>
      </c>
      <c r="B83" s="121" t="s">
        <v>98</v>
      </c>
      <c r="C83" s="121"/>
      <c r="D83" s="121"/>
      <c r="E83" s="121"/>
      <c r="G83" s="1" t="b">
        <f t="shared" si="10"/>
        <v>0</v>
      </c>
      <c r="H83" s="1">
        <f t="shared" si="11"/>
        <v>1</v>
      </c>
      <c r="I83" s="1">
        <v>1</v>
      </c>
    </row>
    <row r="84" spans="1:9" ht="28.5" x14ac:dyDescent="0.45">
      <c r="A84" s="4" t="s">
        <v>186</v>
      </c>
      <c r="B84" s="120" t="s">
        <v>65</v>
      </c>
      <c r="C84" s="120"/>
      <c r="D84" s="120"/>
      <c r="E84" s="120"/>
      <c r="G84" s="1" t="b">
        <f t="shared" si="10"/>
        <v>0</v>
      </c>
      <c r="H84" s="1">
        <f t="shared" si="11"/>
        <v>1</v>
      </c>
      <c r="I84" s="1">
        <v>1</v>
      </c>
    </row>
    <row r="85" spans="1:9" ht="53.25" customHeight="1" x14ac:dyDescent="0.45">
      <c r="A85" s="5" t="s">
        <v>221</v>
      </c>
      <c r="B85" s="121" t="s">
        <v>96</v>
      </c>
      <c r="C85" s="121"/>
      <c r="D85" s="121"/>
      <c r="E85" s="121"/>
      <c r="G85" s="1" t="b">
        <f t="shared" si="10"/>
        <v>0</v>
      </c>
      <c r="H85" s="1">
        <f t="shared" si="11"/>
        <v>1</v>
      </c>
      <c r="I85" s="1">
        <v>1</v>
      </c>
    </row>
    <row r="86" spans="1:9" ht="28.5" x14ac:dyDescent="0.45">
      <c r="A86" s="4" t="s">
        <v>187</v>
      </c>
      <c r="B86" s="120" t="s">
        <v>100</v>
      </c>
      <c r="C86" s="120"/>
      <c r="D86" s="120"/>
      <c r="E86" s="120"/>
      <c r="G86" s="1" t="b">
        <f t="shared" si="10"/>
        <v>0</v>
      </c>
      <c r="H86" s="1">
        <f t="shared" si="11"/>
        <v>1</v>
      </c>
      <c r="I86" s="1">
        <v>1</v>
      </c>
    </row>
    <row r="87" spans="1:9" ht="28.5" x14ac:dyDescent="0.45">
      <c r="A87" s="5" t="s">
        <v>156</v>
      </c>
      <c r="B87" s="121" t="s">
        <v>46</v>
      </c>
      <c r="C87" s="121"/>
      <c r="D87" s="121"/>
      <c r="E87" s="121"/>
      <c r="G87" s="1" t="b">
        <f t="shared" si="10"/>
        <v>0</v>
      </c>
      <c r="H87" s="1">
        <f t="shared" si="11"/>
        <v>1</v>
      </c>
      <c r="I87" s="1">
        <v>1</v>
      </c>
    </row>
    <row r="88" spans="1:9" ht="33" customHeight="1" x14ac:dyDescent="0.45">
      <c r="A88" s="4" t="s">
        <v>188</v>
      </c>
      <c r="B88" s="120" t="s">
        <v>96</v>
      </c>
      <c r="C88" s="120"/>
      <c r="D88" s="120"/>
      <c r="E88" s="120"/>
      <c r="G88" s="1" t="b">
        <f t="shared" si="10"/>
        <v>0</v>
      </c>
      <c r="H88" s="1">
        <f t="shared" si="11"/>
        <v>1</v>
      </c>
      <c r="I88" s="1">
        <v>1</v>
      </c>
    </row>
    <row r="89" spans="1:9" ht="28.5" x14ac:dyDescent="0.45">
      <c r="A89" s="6" t="s">
        <v>189</v>
      </c>
      <c r="B89" s="124" t="s">
        <v>96</v>
      </c>
      <c r="C89" s="124"/>
      <c r="D89" s="124"/>
      <c r="E89" s="124"/>
      <c r="G89" s="1" t="b">
        <f t="shared" si="10"/>
        <v>0</v>
      </c>
      <c r="H89" s="1">
        <f t="shared" si="11"/>
        <v>1</v>
      </c>
      <c r="I89" s="1">
        <v>1</v>
      </c>
    </row>
    <row r="90" spans="1:9" x14ac:dyDescent="0.45">
      <c r="A90"/>
      <c r="B90"/>
      <c r="C90"/>
      <c r="D90"/>
      <c r="E90"/>
      <c r="G90"/>
      <c r="H90"/>
      <c r="I90"/>
    </row>
    <row r="91" spans="1:9" ht="27" customHeight="1" x14ac:dyDescent="0.45">
      <c r="A91" s="125" t="s">
        <v>29</v>
      </c>
      <c r="B91" s="125"/>
      <c r="C91" s="125"/>
      <c r="D91" s="125"/>
      <c r="E91" s="125"/>
      <c r="G91" s="1">
        <f>IF(H91=0,0,IF(H91=I91,2,1))</f>
        <v>2</v>
      </c>
      <c r="H91" s="1">
        <f>SUM(H92:H100)</f>
        <v>9</v>
      </c>
      <c r="I91" s="1">
        <f>SUM(I92:I100)</f>
        <v>9</v>
      </c>
    </row>
    <row r="92" spans="1:9" x14ac:dyDescent="0.45">
      <c r="A92" s="12" t="s">
        <v>30</v>
      </c>
      <c r="B92" s="126" t="s">
        <v>103</v>
      </c>
      <c r="C92" s="126"/>
      <c r="D92" s="126"/>
      <c r="E92" s="126"/>
      <c r="G92" s="1" t="b">
        <f t="shared" ref="G92:G100" si="12">ISBLANK(B92)</f>
        <v>0</v>
      </c>
      <c r="H92" s="1">
        <f>IF(G92=FALSE,1,0)</f>
        <v>1</v>
      </c>
      <c r="I92" s="1">
        <v>1</v>
      </c>
    </row>
    <row r="93" spans="1:9" x14ac:dyDescent="0.45">
      <c r="A93" s="4" t="s">
        <v>31</v>
      </c>
      <c r="B93" s="120" t="s">
        <v>103</v>
      </c>
      <c r="C93" s="120"/>
      <c r="D93" s="120"/>
      <c r="E93" s="120"/>
      <c r="G93" s="1" t="b">
        <f t="shared" si="12"/>
        <v>0</v>
      </c>
      <c r="H93" s="1">
        <f t="shared" ref="H93:H100" si="13">IF(G93=FALSE,1,0)</f>
        <v>1</v>
      </c>
      <c r="I93" s="1">
        <v>1</v>
      </c>
    </row>
    <row r="94" spans="1:9" x14ac:dyDescent="0.45">
      <c r="A94" s="5" t="s">
        <v>190</v>
      </c>
      <c r="B94" s="121" t="s">
        <v>106</v>
      </c>
      <c r="C94" s="121"/>
      <c r="D94" s="121"/>
      <c r="E94" s="121"/>
      <c r="G94" s="1" t="b">
        <f t="shared" si="12"/>
        <v>0</v>
      </c>
      <c r="H94" s="1">
        <f t="shared" si="13"/>
        <v>1</v>
      </c>
      <c r="I94" s="1">
        <v>1</v>
      </c>
    </row>
    <row r="95" spans="1:9" ht="28.5" x14ac:dyDescent="0.45">
      <c r="A95" s="4" t="s">
        <v>191</v>
      </c>
      <c r="B95" s="120" t="s">
        <v>104</v>
      </c>
      <c r="C95" s="120"/>
      <c r="D95" s="120"/>
      <c r="E95" s="120"/>
      <c r="G95" s="1" t="b">
        <f t="shared" si="12"/>
        <v>0</v>
      </c>
      <c r="H95" s="1">
        <f t="shared" si="13"/>
        <v>1</v>
      </c>
      <c r="I95" s="1">
        <v>1</v>
      </c>
    </row>
    <row r="96" spans="1:9" x14ac:dyDescent="0.45">
      <c r="A96" s="5" t="s">
        <v>222</v>
      </c>
      <c r="B96" s="121" t="s">
        <v>106</v>
      </c>
      <c r="C96" s="121"/>
      <c r="D96" s="121"/>
      <c r="E96" s="121"/>
      <c r="G96" s="1" t="b">
        <f t="shared" si="12"/>
        <v>0</v>
      </c>
      <c r="H96" s="1">
        <f t="shared" si="13"/>
        <v>1</v>
      </c>
      <c r="I96" s="1">
        <v>1</v>
      </c>
    </row>
    <row r="97" spans="1:9" ht="28.5" customHeight="1" x14ac:dyDescent="0.45">
      <c r="A97" s="4" t="s">
        <v>176</v>
      </c>
      <c r="B97" s="120" t="s">
        <v>105</v>
      </c>
      <c r="C97" s="120"/>
      <c r="D97" s="120"/>
      <c r="E97" s="120"/>
      <c r="G97" s="1" t="b">
        <f t="shared" si="12"/>
        <v>0</v>
      </c>
      <c r="H97" s="1">
        <f t="shared" si="13"/>
        <v>1</v>
      </c>
      <c r="I97" s="1">
        <v>1</v>
      </c>
    </row>
    <row r="98" spans="1:9" x14ac:dyDescent="0.45">
      <c r="A98" s="5" t="s">
        <v>192</v>
      </c>
      <c r="B98" s="121" t="s">
        <v>105</v>
      </c>
      <c r="C98" s="121"/>
      <c r="D98" s="121"/>
      <c r="E98" s="121"/>
      <c r="G98" s="1" t="b">
        <f t="shared" si="12"/>
        <v>0</v>
      </c>
      <c r="H98" s="1">
        <f t="shared" si="13"/>
        <v>1</v>
      </c>
      <c r="I98" s="1">
        <v>1</v>
      </c>
    </row>
    <row r="99" spans="1:9" ht="28.5" x14ac:dyDescent="0.45">
      <c r="A99" s="4" t="s">
        <v>164</v>
      </c>
      <c r="B99" s="120" t="s">
        <v>162</v>
      </c>
      <c r="C99" s="120"/>
      <c r="D99" s="120"/>
      <c r="E99" s="120"/>
      <c r="G99" s="1" t="b">
        <f t="shared" si="12"/>
        <v>0</v>
      </c>
      <c r="H99" s="1">
        <f t="shared" si="13"/>
        <v>1</v>
      </c>
      <c r="I99" s="1">
        <v>1</v>
      </c>
    </row>
    <row r="100" spans="1:9" ht="36.75" customHeight="1" x14ac:dyDescent="0.45">
      <c r="A100" s="6" t="s">
        <v>148</v>
      </c>
      <c r="B100" s="124" t="s">
        <v>47</v>
      </c>
      <c r="C100" s="124"/>
      <c r="D100" s="124"/>
      <c r="E100" s="124"/>
      <c r="G100" s="1" t="b">
        <f t="shared" si="12"/>
        <v>0</v>
      </c>
      <c r="H100" s="1">
        <f t="shared" si="13"/>
        <v>1</v>
      </c>
      <c r="I100" s="1">
        <v>1</v>
      </c>
    </row>
    <row r="101" spans="1:9" x14ac:dyDescent="0.45">
      <c r="A101"/>
      <c r="B101"/>
      <c r="C101"/>
      <c r="D101"/>
      <c r="E101"/>
      <c r="G101"/>
      <c r="H101"/>
      <c r="I101"/>
    </row>
    <row r="102" spans="1:9" ht="27" customHeight="1" x14ac:dyDescent="0.45">
      <c r="A102" s="125" t="s">
        <v>32</v>
      </c>
      <c r="B102" s="125"/>
      <c r="C102" s="125"/>
      <c r="D102" s="125"/>
      <c r="E102" s="125"/>
      <c r="G102" s="1">
        <f>IF(H102=0,0,IF(H102=I102,2,1))</f>
        <v>2</v>
      </c>
      <c r="H102" s="1">
        <f>SUM(H103:H117)</f>
        <v>15</v>
      </c>
      <c r="I102" s="1">
        <f>SUM(I103:I117)</f>
        <v>15</v>
      </c>
    </row>
    <row r="103" spans="1:9" x14ac:dyDescent="0.45">
      <c r="A103" s="4" t="s">
        <v>193</v>
      </c>
      <c r="B103" s="120" t="s">
        <v>112</v>
      </c>
      <c r="C103" s="120"/>
      <c r="D103" s="120"/>
      <c r="E103" s="120"/>
      <c r="G103" s="1" t="b">
        <f t="shared" ref="G103:G117" si="14">ISBLANK(B103)</f>
        <v>0</v>
      </c>
      <c r="H103" s="1">
        <f>IF(G103=FALSE,1,0)</f>
        <v>1</v>
      </c>
      <c r="I103" s="1">
        <v>1</v>
      </c>
    </row>
    <row r="104" spans="1:9" x14ac:dyDescent="0.45">
      <c r="A104" s="5" t="s">
        <v>149</v>
      </c>
      <c r="B104" s="123" t="s">
        <v>110</v>
      </c>
      <c r="C104" s="123"/>
      <c r="D104" s="123"/>
      <c r="E104" s="123"/>
      <c r="G104" s="1" t="b">
        <f t="shared" si="14"/>
        <v>0</v>
      </c>
      <c r="H104" s="1">
        <f t="shared" ref="H104:H117" si="15">IF(G104=FALSE,1,0)</f>
        <v>1</v>
      </c>
      <c r="I104" s="1">
        <v>1</v>
      </c>
    </row>
    <row r="105" spans="1:9" ht="42.75" x14ac:dyDescent="0.45">
      <c r="A105" s="4" t="s">
        <v>194</v>
      </c>
      <c r="B105" s="120" t="s">
        <v>116</v>
      </c>
      <c r="C105" s="120"/>
      <c r="D105" s="120"/>
      <c r="E105" s="120"/>
      <c r="F105" s="112"/>
      <c r="G105" s="1" t="b">
        <f t="shared" si="14"/>
        <v>0</v>
      </c>
      <c r="H105" s="1">
        <f t="shared" si="15"/>
        <v>1</v>
      </c>
      <c r="I105" s="1">
        <v>1</v>
      </c>
    </row>
    <row r="106" spans="1:9" ht="28.5" x14ac:dyDescent="0.45">
      <c r="A106" s="5" t="s">
        <v>177</v>
      </c>
      <c r="B106" s="121" t="s">
        <v>94</v>
      </c>
      <c r="C106" s="121"/>
      <c r="D106" s="121"/>
      <c r="E106" s="121"/>
      <c r="F106" s="114"/>
      <c r="G106" s="1" t="b">
        <f t="shared" si="14"/>
        <v>0</v>
      </c>
      <c r="H106" s="1">
        <f t="shared" si="15"/>
        <v>1</v>
      </c>
      <c r="I106" s="1">
        <v>1</v>
      </c>
    </row>
    <row r="107" spans="1:9" ht="28.5" x14ac:dyDescent="0.45">
      <c r="A107" s="4" t="s">
        <v>203</v>
      </c>
      <c r="B107" s="120" t="s">
        <v>93</v>
      </c>
      <c r="C107" s="120"/>
      <c r="D107" s="120"/>
      <c r="E107" s="120"/>
      <c r="F107" s="114"/>
      <c r="G107" s="1" t="b">
        <f t="shared" si="14"/>
        <v>0</v>
      </c>
      <c r="H107" s="1">
        <f t="shared" si="15"/>
        <v>1</v>
      </c>
      <c r="I107" s="1">
        <v>1</v>
      </c>
    </row>
    <row r="108" spans="1:9" x14ac:dyDescent="0.45">
      <c r="A108" s="5" t="s">
        <v>179</v>
      </c>
      <c r="B108" s="121" t="s">
        <v>94</v>
      </c>
      <c r="C108" s="121"/>
      <c r="D108" s="121"/>
      <c r="E108" s="121"/>
      <c r="F108" s="114"/>
      <c r="G108" s="1" t="b">
        <f t="shared" si="14"/>
        <v>0</v>
      </c>
      <c r="H108" s="1">
        <f t="shared" si="15"/>
        <v>1</v>
      </c>
      <c r="I108" s="1">
        <v>1</v>
      </c>
    </row>
    <row r="109" spans="1:9" x14ac:dyDescent="0.45">
      <c r="A109" s="4" t="s">
        <v>195</v>
      </c>
      <c r="B109" s="120" t="s">
        <v>94</v>
      </c>
      <c r="C109" s="120"/>
      <c r="D109" s="120"/>
      <c r="E109" s="120"/>
      <c r="F109" s="114"/>
      <c r="G109" s="1" t="b">
        <f t="shared" si="14"/>
        <v>0</v>
      </c>
      <c r="H109" s="1">
        <f t="shared" si="15"/>
        <v>1</v>
      </c>
      <c r="I109" s="1">
        <v>1</v>
      </c>
    </row>
    <row r="110" spans="1:9" ht="17.25" customHeight="1" x14ac:dyDescent="0.45">
      <c r="A110" s="5" t="s">
        <v>196</v>
      </c>
      <c r="B110" s="121" t="s">
        <v>94</v>
      </c>
      <c r="C110" s="121"/>
      <c r="D110" s="121"/>
      <c r="E110" s="121"/>
      <c r="F110" s="114"/>
      <c r="G110" s="1" t="b">
        <f t="shared" si="14"/>
        <v>0</v>
      </c>
      <c r="H110" s="1">
        <f t="shared" si="15"/>
        <v>1</v>
      </c>
      <c r="I110" s="1">
        <v>1</v>
      </c>
    </row>
    <row r="111" spans="1:9" x14ac:dyDescent="0.45">
      <c r="A111" s="4" t="s">
        <v>206</v>
      </c>
      <c r="B111" s="120" t="s">
        <v>93</v>
      </c>
      <c r="C111" s="120"/>
      <c r="D111" s="120"/>
      <c r="E111" s="120"/>
      <c r="F111" s="114"/>
      <c r="G111" s="1" t="b">
        <f t="shared" si="14"/>
        <v>0</v>
      </c>
      <c r="H111" s="1">
        <f t="shared" si="15"/>
        <v>1</v>
      </c>
      <c r="I111" s="1">
        <v>1</v>
      </c>
    </row>
    <row r="112" spans="1:9" ht="28.5" x14ac:dyDescent="0.45">
      <c r="A112" s="5" t="s">
        <v>204</v>
      </c>
      <c r="B112" s="121" t="s">
        <v>93</v>
      </c>
      <c r="C112" s="121"/>
      <c r="D112" s="121"/>
      <c r="E112" s="121"/>
      <c r="F112" s="114"/>
      <c r="G112" s="1" t="b">
        <f t="shared" si="14"/>
        <v>0</v>
      </c>
      <c r="H112" s="1">
        <f t="shared" si="15"/>
        <v>1</v>
      </c>
      <c r="I112" s="1">
        <v>1</v>
      </c>
    </row>
    <row r="113" spans="1:9" x14ac:dyDescent="0.45">
      <c r="A113" s="4" t="s">
        <v>205</v>
      </c>
      <c r="B113" s="120" t="s">
        <v>47</v>
      </c>
      <c r="C113" s="120"/>
      <c r="D113" s="120"/>
      <c r="E113" s="120"/>
      <c r="F113" s="115"/>
      <c r="G113" s="1" t="b">
        <f t="shared" si="14"/>
        <v>0</v>
      </c>
      <c r="H113" s="1">
        <f t="shared" si="15"/>
        <v>1</v>
      </c>
      <c r="I113" s="1">
        <v>1</v>
      </c>
    </row>
    <row r="114" spans="1:9" ht="28.5" x14ac:dyDescent="0.45">
      <c r="A114" s="5" t="s">
        <v>150</v>
      </c>
      <c r="B114" s="121" t="s">
        <v>121</v>
      </c>
      <c r="C114" s="121"/>
      <c r="D114" s="121"/>
      <c r="E114" s="121"/>
      <c r="F114" s="114"/>
      <c r="G114" s="1" t="b">
        <f t="shared" si="14"/>
        <v>0</v>
      </c>
      <c r="H114" s="1">
        <f t="shared" si="15"/>
        <v>1</v>
      </c>
      <c r="I114" s="1">
        <v>1</v>
      </c>
    </row>
    <row r="115" spans="1:9" ht="28.5" x14ac:dyDescent="0.45">
      <c r="A115" s="4" t="s">
        <v>180</v>
      </c>
      <c r="B115" s="120" t="s">
        <v>47</v>
      </c>
      <c r="C115" s="120"/>
      <c r="D115" s="120"/>
      <c r="E115" s="120"/>
      <c r="F115" s="115"/>
      <c r="G115" s="1" t="b">
        <f t="shared" si="14"/>
        <v>0</v>
      </c>
      <c r="H115" s="1">
        <f t="shared" si="15"/>
        <v>1</v>
      </c>
      <c r="I115" s="1">
        <v>1</v>
      </c>
    </row>
    <row r="116" spans="1:9" x14ac:dyDescent="0.45">
      <c r="A116" s="5" t="s">
        <v>33</v>
      </c>
      <c r="B116" s="121" t="s">
        <v>94</v>
      </c>
      <c r="C116" s="121"/>
      <c r="D116" s="121"/>
      <c r="E116" s="121"/>
      <c r="F116" s="114"/>
      <c r="G116" s="1" t="b">
        <f t="shared" si="14"/>
        <v>0</v>
      </c>
      <c r="H116" s="1">
        <f t="shared" si="15"/>
        <v>1</v>
      </c>
      <c r="I116" s="1">
        <v>1</v>
      </c>
    </row>
    <row r="117" spans="1:9" ht="28.5" x14ac:dyDescent="0.45">
      <c r="A117" s="9" t="s">
        <v>161</v>
      </c>
      <c r="B117" s="122" t="s">
        <v>154</v>
      </c>
      <c r="C117" s="122"/>
      <c r="D117" s="122"/>
      <c r="E117" s="122"/>
      <c r="F117" s="114"/>
      <c r="G117" s="1" t="b">
        <f t="shared" si="14"/>
        <v>0</v>
      </c>
      <c r="H117" s="1">
        <f t="shared" si="15"/>
        <v>1</v>
      </c>
      <c r="I117" s="1">
        <v>1</v>
      </c>
    </row>
  </sheetData>
  <sheetProtection pivotTables="0"/>
  <mergeCells count="116">
    <mergeCell ref="A1:E1"/>
    <mergeCell ref="B2:E2"/>
    <mergeCell ref="B3:E3"/>
    <mergeCell ref="B4:E4"/>
    <mergeCell ref="B5:E5"/>
    <mergeCell ref="B6:E6"/>
    <mergeCell ref="A8:E8"/>
    <mergeCell ref="B9:E9"/>
    <mergeCell ref="B10:E10"/>
    <mergeCell ref="B11:E11"/>
    <mergeCell ref="B12:E12"/>
    <mergeCell ref="B13:E13"/>
    <mergeCell ref="B14:E14"/>
    <mergeCell ref="B15:E15"/>
    <mergeCell ref="B16:E16"/>
    <mergeCell ref="A17:A23"/>
    <mergeCell ref="C17:E17"/>
    <mergeCell ref="C18:E18"/>
    <mergeCell ref="C19:E19"/>
    <mergeCell ref="C20:E20"/>
    <mergeCell ref="C21:E21"/>
    <mergeCell ref="C22:E22"/>
    <mergeCell ref="C23:E23"/>
    <mergeCell ref="B24:E24"/>
    <mergeCell ref="B25:E25"/>
    <mergeCell ref="A27:E27"/>
    <mergeCell ref="B28:E28"/>
    <mergeCell ref="B29:E29"/>
    <mergeCell ref="B30:E30"/>
    <mergeCell ref="B31:E31"/>
    <mergeCell ref="B32:E32"/>
    <mergeCell ref="A33:A36"/>
    <mergeCell ref="C33:E33"/>
    <mergeCell ref="C34:E34"/>
    <mergeCell ref="C35:E35"/>
    <mergeCell ref="C36:E36"/>
    <mergeCell ref="B37:E37"/>
    <mergeCell ref="B38:E38"/>
    <mergeCell ref="B39:E39"/>
    <mergeCell ref="B40:E40"/>
    <mergeCell ref="A42:E42"/>
    <mergeCell ref="A43:A45"/>
    <mergeCell ref="B43:E43"/>
    <mergeCell ref="B44:B45"/>
    <mergeCell ref="C44:D44"/>
    <mergeCell ref="C45:D45"/>
    <mergeCell ref="B46:E46"/>
    <mergeCell ref="B47:E47"/>
    <mergeCell ref="B48:E48"/>
    <mergeCell ref="B49:E49"/>
    <mergeCell ref="B50:E50"/>
    <mergeCell ref="B51:E51"/>
    <mergeCell ref="B52:E52"/>
    <mergeCell ref="B53:E53"/>
    <mergeCell ref="B54:E54"/>
    <mergeCell ref="B55:E55"/>
    <mergeCell ref="A57:E57"/>
    <mergeCell ref="B58:E58"/>
    <mergeCell ref="B59:E59"/>
    <mergeCell ref="B60:E60"/>
    <mergeCell ref="B61:E61"/>
    <mergeCell ref="B62:E62"/>
    <mergeCell ref="B63:E63"/>
    <mergeCell ref="B64:E64"/>
    <mergeCell ref="B65:E65"/>
    <mergeCell ref="B66:E66"/>
    <mergeCell ref="B67:E67"/>
    <mergeCell ref="A68:A70"/>
    <mergeCell ref="C68:E68"/>
    <mergeCell ref="C69:E69"/>
    <mergeCell ref="C70:E70"/>
    <mergeCell ref="A71:A73"/>
    <mergeCell ref="C71:E71"/>
    <mergeCell ref="C72:E72"/>
    <mergeCell ref="C73:E73"/>
    <mergeCell ref="B74:E74"/>
    <mergeCell ref="B75:E75"/>
    <mergeCell ref="B76:E76"/>
    <mergeCell ref="A78:E78"/>
    <mergeCell ref="B79:E79"/>
    <mergeCell ref="B80:E80"/>
    <mergeCell ref="B81:E81"/>
    <mergeCell ref="B82:E82"/>
    <mergeCell ref="B83:E83"/>
    <mergeCell ref="B84:E84"/>
    <mergeCell ref="B85:E85"/>
    <mergeCell ref="B86:E86"/>
    <mergeCell ref="B87:E87"/>
    <mergeCell ref="B88:E88"/>
    <mergeCell ref="B89:E89"/>
    <mergeCell ref="A91:E91"/>
    <mergeCell ref="B92:E92"/>
    <mergeCell ref="B93:E93"/>
    <mergeCell ref="B94:E94"/>
    <mergeCell ref="B95:E95"/>
    <mergeCell ref="B96:E96"/>
    <mergeCell ref="B97:E97"/>
    <mergeCell ref="B98:E98"/>
    <mergeCell ref="B99:E99"/>
    <mergeCell ref="B100:E100"/>
    <mergeCell ref="A102:E102"/>
    <mergeCell ref="B103:E103"/>
    <mergeCell ref="B113:E113"/>
    <mergeCell ref="B114:E114"/>
    <mergeCell ref="B115:E115"/>
    <mergeCell ref="B116:E116"/>
    <mergeCell ref="B117:E117"/>
    <mergeCell ref="B104:E104"/>
    <mergeCell ref="B105:E105"/>
    <mergeCell ref="B106:E106"/>
    <mergeCell ref="B107:E107"/>
    <mergeCell ref="B108:E108"/>
    <mergeCell ref="B109:E109"/>
    <mergeCell ref="B110:E110"/>
    <mergeCell ref="B111:E111"/>
    <mergeCell ref="B112:E112"/>
  </mergeCells>
  <conditionalFormatting sqref="A1">
    <cfRule type="expression" dxfId="23" priority="2">
      <formula>$G$1=0</formula>
    </cfRule>
  </conditionalFormatting>
  <conditionalFormatting sqref="A8:E8">
    <cfRule type="expression" dxfId="22" priority="3">
      <formula>$G$8=2</formula>
    </cfRule>
    <cfRule type="expression" dxfId="21" priority="4">
      <formula>$G$8=1</formula>
    </cfRule>
    <cfRule type="expression" dxfId="20" priority="5">
      <formula>$G$8=0</formula>
    </cfRule>
  </conditionalFormatting>
  <conditionalFormatting sqref="A1:E1">
    <cfRule type="expression" dxfId="19" priority="6">
      <formula>$G$1=2</formula>
    </cfRule>
    <cfRule type="expression" dxfId="18" priority="7">
      <formula>$G$1=1</formula>
    </cfRule>
  </conditionalFormatting>
  <conditionalFormatting sqref="A27:E27">
    <cfRule type="expression" dxfId="17" priority="8">
      <formula>$G$27=2</formula>
    </cfRule>
    <cfRule type="expression" dxfId="16" priority="9">
      <formula>$G$27=1</formula>
    </cfRule>
    <cfRule type="expression" dxfId="15" priority="10">
      <formula>$G$27=0</formula>
    </cfRule>
  </conditionalFormatting>
  <conditionalFormatting sqref="A42:E42">
    <cfRule type="expression" dxfId="14" priority="11">
      <formula>$G$42=2</formula>
    </cfRule>
    <cfRule type="expression" dxfId="13" priority="12">
      <formula>$G$42=1</formula>
    </cfRule>
    <cfRule type="expression" dxfId="12" priority="13">
      <formula>$G$42=0</formula>
    </cfRule>
  </conditionalFormatting>
  <conditionalFormatting sqref="A57:E57">
    <cfRule type="expression" dxfId="11" priority="14">
      <formula>$G$57=2</formula>
    </cfRule>
    <cfRule type="expression" dxfId="10" priority="15">
      <formula>$G$57=1</formula>
    </cfRule>
    <cfRule type="expression" dxfId="9" priority="16">
      <formula>$G$57=0</formula>
    </cfRule>
  </conditionalFormatting>
  <conditionalFormatting sqref="A78:E78">
    <cfRule type="expression" dxfId="8" priority="17">
      <formula>$G$78=2</formula>
    </cfRule>
    <cfRule type="expression" dxfId="7" priority="18">
      <formula>$G$78=1</formula>
    </cfRule>
    <cfRule type="expression" dxfId="6" priority="19">
      <formula>$G$78=0</formula>
    </cfRule>
  </conditionalFormatting>
  <conditionalFormatting sqref="A91:E91">
    <cfRule type="expression" dxfId="5" priority="20">
      <formula>$G$91=2</formula>
    </cfRule>
    <cfRule type="expression" dxfId="4" priority="21">
      <formula>$G$91=1</formula>
    </cfRule>
    <cfRule type="expression" dxfId="3" priority="22">
      <formula>$G$91=0</formula>
    </cfRule>
  </conditionalFormatting>
  <conditionalFormatting sqref="A102:E102">
    <cfRule type="expression" dxfId="2" priority="23">
      <formula>$G$102=2</formula>
    </cfRule>
    <cfRule type="expression" dxfId="1" priority="24">
      <formula>$G$102=1</formula>
    </cfRule>
    <cfRule type="expression" dxfId="0" priority="25">
      <formula>$G$102=0</formula>
    </cfRule>
  </conditionalFormatting>
  <dataValidations count="40">
    <dataValidation type="list" allowBlank="1" showInputMessage="1" showErrorMessage="1" sqref="B15" xr:uid="{00000000-0002-0000-0100-000000000000}">
      <formula1>"Aucune,Quelques élèves,Une classe,Plusieurs classes,Toutes les classes"</formula1>
      <formula2>0</formula2>
    </dataValidation>
    <dataValidation type="list" allowBlank="1" showInputMessage="1" showErrorMessage="1" sqref="B16:E16" xr:uid="{00000000-0002-0000-0100-000001000000}">
      <formula1>"Aucune,Quelques professeurs,Tous les professeurs"</formula1>
    </dataValidation>
    <dataValidation type="list" allowBlank="1" showInputMessage="1" showErrorMessage="1" sqref="C17:C23 C33:C36 B43 E44:E45 B51:E53 B58:E58 B62:E62 B64:E65 B67:E67 C68:E73 B75:E75 B80:E81 B87:E87 B100:E100 B113:E113 B115:E115" xr:uid="{00000000-0002-0000-0100-000002000000}">
      <formula1>"Non,Oui"</formula1>
      <formula2>0</formula2>
    </dataValidation>
    <dataValidation type="list" allowBlank="1" showInputMessage="1" showErrorMessage="1" sqref="B76:E76" xr:uid="{00000000-0002-0000-0100-000003000000}">
      <formula1>"Aucun,Rares,Limités,Généralisés"</formula1>
    </dataValidation>
    <dataValidation type="list" allowBlank="1" showInputMessage="1" showErrorMessage="1" sqref="B29:E29" xr:uid="{00000000-0002-0000-0100-000004000000}">
      <formula1>"Moins de 2 Mbit/s,Strictement plus de 2 et moins de 10 Mbit/s,Strictement plus de 10 Mbit/s"</formula1>
      <formula2>0</formula2>
    </dataValidation>
    <dataValidation type="list" allowBlank="1" showInputMessage="1" showErrorMessage="1" sqref="B30:E30" xr:uid="{00000000-0002-0000-0100-000005000000}">
      <formula1>"Moins de 100 Mbit/s,Strictement plus de 100 et moins de 1000 Mbit/s,Strictement plus de 1000 Mbit/s"</formula1>
      <formula2>0</formula2>
    </dataValidation>
    <dataValidation type="list" allowBlank="1" showInputMessage="1" showErrorMessage="1" sqref="B31:E31 B39:E39" xr:uid="{00000000-0002-0000-0100-000006000000}">
      <formula1>"Insuffisante,Suffisante"</formula1>
      <formula2>0</formula2>
    </dataValidation>
    <dataValidation type="list" allowBlank="1" showInputMessage="1" showErrorMessage="1" sqref="B32:E32" xr:uid="{00000000-0002-0000-0100-000007000000}">
      <formula1>"Non réalisée,Insuffisante,Suffisante"</formula1>
      <formula2>0</formula2>
    </dataValidation>
    <dataValidation type="list" allowBlank="1" showInputMessage="1" showErrorMessage="1" sqref="B37:E37" xr:uid="{00000000-0002-0000-0100-000008000000}">
      <formula1>"Aucun,Strictement moins d'un quart,Entre un quart et la moitié,Strictement plus de la moitié"</formula1>
      <formula2>0</formula2>
    </dataValidation>
    <dataValidation type="list" allowBlank="1" showInputMessage="1" showErrorMessage="1" sqref="B46:E46" xr:uid="{00000000-0002-0000-0100-000009000000}">
      <formula1>"Non,Site web hébergé à l'extérieur (hors ENT) chez un hébergeur privé et présence sur au moins un RSN,Site web hébergé dans l'établissement ou sur des serveurs institutionnels et présence sur les RSN,Site web intégré à l'ENT et présence sur les RSN"</formula1>
    </dataValidation>
    <dataValidation type="list" allowBlank="1" showInputMessage="1" showErrorMessage="1" sqref="B47:E47" xr:uid="{00000000-0002-0000-0100-00000A000000}">
      <formula1>"Éditeur privé,Intégrés à l'ENT"</formula1>
    </dataValidation>
    <dataValidation type="list" allowBlank="1" showInputMessage="1" showErrorMessage="1" sqref="B49:E49" xr:uid="{00000000-0002-0000-0100-00000B000000}">
      <formula1>"Pas de messagerie interne,Intégrée dans le réseau pédagogique local ou via des outils dédiés,Intégrée à l'ENT"</formula1>
      <formula2>0</formula2>
    </dataValidation>
    <dataValidation type="list" allowBlank="1" showInputMessage="1" showErrorMessage="1" sqref="B50:E50" xr:uid="{00000000-0002-0000-0100-00000C000000}">
      <formula1>"Réservé à l'équipe pédagogique et de direction,Ouvert à la communauté éducative"</formula1>
      <formula2>0</formula2>
    </dataValidation>
    <dataValidation type="list" allowBlank="1" showInputMessage="1" showErrorMessage="1" sqref="B54:E54" xr:uid="{00000000-0002-0000-0100-00000D000000}">
      <formula1>"0,Entre 1 et 4,Entre 5 et 9,Plus de 10"</formula1>
      <formula2>0</formula2>
    </dataValidation>
    <dataValidation type="list" allowBlank="1" showInputMessage="1" showErrorMessage="1" sqref="B55:E55" xr:uid="{00000000-0002-0000-0100-00000E000000}">
      <formula1>"Strictement moins de 10% du budget,Plus de 10% et strictement moins 25% du budget,Plus de 25% et strictement moins de 50%,50% ou plus du budget"</formula1>
    </dataValidation>
    <dataValidation type="list" allowBlank="1" showInputMessage="1" showErrorMessage="1" sqref="B60:E60" xr:uid="{00000000-0002-0000-0100-00000F000000}">
      <formula1>"Non,Réunion annuelle,Plusieurs réunions par année scolaire"</formula1>
    </dataValidation>
    <dataValidation type="list" allowBlank="1" showInputMessage="1" showErrorMessage="1" sqref="B63:E63" xr:uid="{00000000-0002-0000-0100-000010000000}">
      <formula1>"Non,En projet,Partiellement mise en place,Totalement mise en place"</formula1>
      <formula2>0</formula2>
    </dataValidation>
    <dataValidation type="list" allowBlank="1" showInputMessage="1" showErrorMessage="1" sqref="B82:E83 B85:E85 B89:E89" xr:uid="{00000000-0002-0000-0100-000011000000}">
      <formula1>"Non,Au moins une fois au cours des trois dernières années,Au moins une fois par an,Au moins deux fois par an"</formula1>
      <formula2>0</formula2>
    </dataValidation>
    <dataValidation type="list" allowBlank="1" showInputMessage="1" showErrorMessage="1" sqref="B84:E84" xr:uid="{00000000-0002-0000-0100-000012000000}">
      <formula1>"Aucun ou presque,Entre un quart et la moitié,Strictement plus de la moitié"</formula1>
      <formula2>0</formula2>
    </dataValidation>
    <dataValidation type="list" allowBlank="1" showInputMessage="1" showErrorMessage="1" sqref="B86:E86" xr:uid="{00000000-0002-0000-0100-000013000000}">
      <formula1>"Aucun ou presque,Strictement moins de la moitié ,Plus de la moitié"</formula1>
    </dataValidation>
    <dataValidation type="list" allowBlank="1" showInputMessage="1" showErrorMessage="1" sqref="B95:E97" xr:uid="{00000000-0002-0000-0100-000014000000}">
      <formula1>"Inconnue,Strictement moins de 50%,Plus de 50%"</formula1>
      <formula2>0</formula2>
    </dataValidation>
    <dataValidation type="list" allowBlank="1" showInputMessage="1" showErrorMessage="1" sqref="B92:E93" xr:uid="{00000000-0002-0000-0100-000015000000}">
      <formula1>"Inconnu,Strictement moins de 50%,Plus de 50%"</formula1>
      <formula2>0</formula2>
    </dataValidation>
    <dataValidation type="list" allowBlank="1" showInputMessage="1" showErrorMessage="1" sqref="B99:E99" xr:uid="{00000000-0002-0000-0100-000016000000}">
      <formula1>"Inexistante sur le site public et sur les comptes de l’établissement sur les RSN,Rarement visités,Régulièrement visités"</formula1>
    </dataValidation>
    <dataValidation type="list" allowBlank="1" showInputMessage="1" showErrorMessage="1" sqref="B103:E103" xr:uid="{00000000-0002-0000-0100-000017000000}">
      <formula1>"Strictement moins de 25%,Plus de 25% et strictement moins de 50%,Plus de 50% et strictement moins de 75%,Plus de 75%"</formula1>
      <formula2>0</formula2>
    </dataValidation>
    <dataValidation type="list" allowBlank="1" showInputMessage="1" showErrorMessage="1" sqref="B104:E104" xr:uid="{00000000-0002-0000-0100-000018000000}">
      <formula1>"Strictement moins de 25%,Plus de 25% et strictement moins de 50%,Plus de 50% et strictement moins de 100%,Cent pour cent"</formula1>
      <formula2>0</formula2>
    </dataValidation>
    <dataValidation type="list" allowBlank="1" showInputMessage="1" showErrorMessage="1" sqref="B107:E107" xr:uid="{00000000-0002-0000-0100-000019000000}">
      <formula1>"Pas d'ENT,Aucun ou rares,Limités,Généralisés"</formula1>
    </dataValidation>
    <dataValidation type="list" allowBlank="1" showInputMessage="1" showErrorMessage="1" sqref="B114:E114" xr:uid="{00000000-0002-0000-0100-00001A000000}">
      <formula1>"Aucun ou rares,Limités et exclusivement en LVE,Limités et pas seulement en LVE,Généralisés mais exclusivement en LVE,Généralisés et pas seulement en LVE"</formula1>
    </dataValidation>
    <dataValidation type="list" allowBlank="1" showInputMessage="1" showErrorMessage="1" sqref="B25:E25" xr:uid="{00000000-0002-0000-0100-00001B000000}">
      <formula1>"Oui,Non"</formula1>
      <formula2>0</formula2>
    </dataValidation>
    <dataValidation type="list" allowBlank="1" showInputMessage="1" showErrorMessage="1" sqref="B79:E79" xr:uid="{00000000-0002-0000-0100-00001C000000}">
      <mc:AlternateContent xmlns:x12ac="http://schemas.microsoft.com/office/spreadsheetml/2011/1/ac" xmlns:mc="http://schemas.openxmlformats.org/markup-compatibility/2006">
        <mc:Choice Requires="x12ac">
          <x12ac:list>Non,"Oui, au pilotage de la transition numérique","Oui, aux aspects juridiques","Oui, aux deux aspects"</x12ac:list>
        </mc:Choice>
        <mc:Fallback>
          <formula1>"Non,Oui, au pilotage de la transition numérique,Oui, aux aspects juridiques,Oui, aux deux aspects"</formula1>
        </mc:Fallback>
      </mc:AlternateContent>
    </dataValidation>
    <dataValidation type="list" allowBlank="1" showInputMessage="1" showErrorMessage="1" sqref="B66:E66" xr:uid="{00000000-0002-0000-0100-00001D000000}">
      <mc:AlternateContent xmlns:x12ac="http://schemas.microsoft.com/office/spreadsheetml/2011/1/ac" xmlns:mc="http://schemas.openxmlformats.org/markup-compatibility/2006">
        <mc:Choice Requires="x12ac">
          <x12ac:list>Non,Ordinateurs portables et tablettes,"Ordinateurs portables, tablettes et smartphones"</x12ac:list>
        </mc:Choice>
        <mc:Fallback>
          <formula1>"Non,Ordinateurs portables et tablettes,Ordinateurs portables, tablettes et smartphones"</formula1>
        </mc:Fallback>
      </mc:AlternateContent>
    </dataValidation>
    <dataValidation type="list" allowBlank="1" showInputMessage="1" showErrorMessage="1" sqref="B105:E105" xr:uid="{00000000-0002-0000-0100-00001E000000}">
      <mc:AlternateContent xmlns:x12ac="http://schemas.microsoft.com/office/spreadsheetml/2011/1/ac" xmlns:mc="http://schemas.openxmlformats.org/markup-compatibility/2006">
        <mc:Choice Requires="x12ac">
          <x12ac:list>Non,"Oui, occasionnellement","Oui, régulièrement"</x12ac:list>
        </mc:Choice>
        <mc:Fallback>
          <formula1>"Non,Oui, occasionnellement,Oui, régulièrement"</formula1>
        </mc:Fallback>
      </mc:AlternateContent>
    </dataValidation>
    <dataValidation type="list" allowBlank="1" showInputMessage="1" showErrorMessage="1" sqref="B24:E24" xr:uid="{00000000-0002-0000-0100-00001F000000}">
      <mc:AlternateContent xmlns:x12ac="http://schemas.microsoft.com/office/spreadsheetml/2011/1/ac" xmlns:mc="http://schemas.openxmlformats.org/markup-compatibility/2006">
        <mc:Choice Requires="x12ac">
          <x12ac:list>Non,"Oui, insuffisamment",Oui</x12ac:list>
        </mc:Choice>
        <mc:Fallback>
          <formula1>"Non,Oui, insuffisamment,Oui"</formula1>
        </mc:Fallback>
      </mc:AlternateContent>
    </dataValidation>
    <dataValidation type="list" allowBlank="1" showInputMessage="1" showErrorMessage="1" sqref="B40:E40" xr:uid="{00000000-0002-0000-0100-000020000000}">
      <mc:AlternateContent xmlns:x12ac="http://schemas.microsoft.com/office/spreadsheetml/2011/1/ac" xmlns:mc="http://schemas.openxmlformats.org/markup-compatibility/2006">
        <mc:Choice Requires="x12ac">
          <x12ac:list>Non,"Oui, partiellement","Oui, suffisamment et en accès libre"</x12ac:list>
        </mc:Choice>
        <mc:Fallback>
          <formula1>"Non,Oui, partiellement,Oui, suffisamment et en accès libre"</formula1>
        </mc:Fallback>
      </mc:AlternateContent>
    </dataValidation>
    <dataValidation type="list" allowBlank="1" showInputMessage="1" showErrorMessage="1" sqref="B48:E48" xr:uid="{00000000-0002-0000-0100-000021000000}">
      <mc:AlternateContent xmlns:x12ac="http://schemas.microsoft.com/office/spreadsheetml/2011/1/ac" xmlns:mc="http://schemas.openxmlformats.org/markup-compatibility/2006">
        <mc:Choice Requires="x12ac">
          <x12ac:list>Non,"Oui, partiellement",Oui</x12ac:list>
        </mc:Choice>
        <mc:Fallback>
          <formula1>"Non,Oui, partiellement,Oui"</formula1>
        </mc:Fallback>
      </mc:AlternateContent>
    </dataValidation>
    <dataValidation type="list" allowBlank="1" showInputMessage="1" showErrorMessage="1" sqref="B59:E59" xr:uid="{00000000-0002-0000-0100-000022000000}">
      <mc:AlternateContent xmlns:x12ac="http://schemas.microsoft.com/office/spreadsheetml/2011/1/ac" xmlns:mc="http://schemas.openxmlformats.org/markup-compatibility/2006">
        <mc:Choice Requires="x12ac">
          <x12ac:list>Non,"Oui, signée par une partie des usagers","Oui, signée par tous les usagers"</x12ac:list>
        </mc:Choice>
        <mc:Fallback>
          <formula1>"Non,Oui, signée par une partie des usagers,Oui, signée par tous les usagers"</formula1>
        </mc:Fallback>
      </mc:AlternateContent>
    </dataValidation>
    <dataValidation type="list" allowBlank="1" showInputMessage="1" showErrorMessage="1" sqref="B61:E61" xr:uid="{00000000-0002-0000-0100-000023000000}">
      <mc:AlternateContent xmlns:x12ac="http://schemas.microsoft.com/office/spreadsheetml/2011/1/ac" xmlns:mc="http://schemas.openxmlformats.org/markup-compatibility/2006">
        <mc:Choice Requires="x12ac">
          <x12ac:list>Non,"Oui, il y a un référent identifié (compétences technico-pédagogiques)","Oui, il y a une équipe de référents en charge de ce sujet"</x12ac:list>
        </mc:Choice>
        <mc:Fallback>
          <formula1>"Non,Oui, il y a un référent identifié (compétences technico-pédagogiques),Oui, il y a une équipe de référents en charge de ce sujet"</formula1>
        </mc:Fallback>
      </mc:AlternateContent>
    </dataValidation>
    <dataValidation type="list" allowBlank="1" showInputMessage="1" showErrorMessage="1" sqref="B74:E74" xr:uid="{00000000-0002-0000-0100-000024000000}">
      <mc:AlternateContent xmlns:x12ac="http://schemas.microsoft.com/office/spreadsheetml/2011/1/ac" xmlns:mc="http://schemas.openxmlformats.org/markup-compatibility/2006">
        <mc:Choice Requires="x12ac">
          <x12ac:list>Non,"Oui, suivi global","Oui, suivi fin"</x12ac:list>
        </mc:Choice>
        <mc:Fallback>
          <formula1>"Non,Oui, suivi global,Oui, suivi fin"</formula1>
        </mc:Fallback>
      </mc:AlternateContent>
    </dataValidation>
    <dataValidation type="list" allowBlank="1" showInputMessage="1" showErrorMessage="1" sqref="B106:E106 B108:E112 B116:E117" xr:uid="{00000000-0002-0000-0100-000025000000}">
      <formula1>"Aucun ou rares,Limités,Généralisés"</formula1>
    </dataValidation>
    <dataValidation type="list" allowBlank="1" showInputMessage="1" showErrorMessage="1" sqref="B98:E98 B94:E94" xr:uid="{00000000-0002-0000-0100-000026000000}">
      <formula1>"Inconnue,Strictement moins de 50%,Plus de 50%"</formula1>
    </dataValidation>
    <dataValidation type="list" allowBlank="1" showInputMessage="1" showErrorMessage="1" sqref="B88:E88" xr:uid="{00000000-0002-0000-0100-000027000000}">
      <formula1>"Non,Au moins une fois au cours des trois dernières années,Au moins une fois par an,Au moins deux fois par an"</formula1>
    </dataValidation>
  </dataValidations>
  <pageMargins left="0.23611111111111099" right="0.23611111111111099" top="0.23611111111111099" bottom="0.23611111111111099" header="0.51180555555555496" footer="0.51180555555555496"/>
  <pageSetup paperSize="9" scale="44" firstPageNumber="0" fitToHeight="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AMJ26"/>
  <sheetViews>
    <sheetView zoomScale="80" zoomScaleNormal="80" workbookViewId="0"/>
  </sheetViews>
  <sheetFormatPr baseColWidth="10" defaultColWidth="9.1328125" defaultRowHeight="14.25" x14ac:dyDescent="0.45"/>
  <cols>
    <col min="1" max="1" width="56.86328125" style="1"/>
    <col min="2" max="2" width="9.1328125" style="1" customWidth="1"/>
    <col min="3" max="3" width="24.1328125" style="1"/>
    <col min="4" max="4" width="15.86328125" style="13"/>
    <col min="5" max="5" width="8.1328125" style="13"/>
    <col min="6" max="6" width="17" style="13"/>
    <col min="7" max="7" width="11.3984375" style="13"/>
    <col min="8" max="8" width="9" style="1" customWidth="1"/>
    <col min="9" max="9" width="7.73046875" style="1" hidden="1" customWidth="1"/>
    <col min="10" max="10" width="2" style="1" hidden="1" customWidth="1"/>
    <col min="11" max="11" width="15" style="1" hidden="1" customWidth="1"/>
    <col min="12" max="12" width="2" style="1" hidden="1" customWidth="1"/>
    <col min="13" max="13" width="11.73046875" style="1" hidden="1" customWidth="1"/>
    <col min="14" max="14" width="2" style="1" hidden="1" customWidth="1"/>
    <col min="15" max="15" width="15.73046875" style="1" hidden="1" customWidth="1"/>
    <col min="16" max="16" width="2" style="1" hidden="1" customWidth="1"/>
    <col min="17" max="17" width="10" style="1" hidden="1" customWidth="1"/>
    <col min="18" max="18" width="2" style="1" hidden="1" customWidth="1"/>
    <col min="19" max="1024" width="9" style="1"/>
  </cols>
  <sheetData>
    <row r="1" spans="1:18" ht="25.5" x14ac:dyDescent="0.45">
      <c r="A1" s="2" t="s">
        <v>1</v>
      </c>
      <c r="B1" s="14"/>
      <c r="C1" s="15" t="s">
        <v>34</v>
      </c>
      <c r="D1" s="150" t="str">
        <f>C24&amp;" "&amp;D24</f>
        <v>134 sur 151 possibles</v>
      </c>
      <c r="E1" s="150"/>
      <c r="F1"/>
      <c r="G1"/>
      <c r="I1"/>
      <c r="J1"/>
      <c r="K1"/>
      <c r="L1"/>
      <c r="M1"/>
      <c r="N1"/>
      <c r="O1"/>
      <c r="P1"/>
      <c r="Q1"/>
      <c r="R1"/>
    </row>
    <row r="2" spans="1:18" ht="18" x14ac:dyDescent="0.45">
      <c r="A2"/>
      <c r="B2"/>
      <c r="C2" s="16" t="s">
        <v>35</v>
      </c>
      <c r="D2" s="149" t="str">
        <f>C26&amp;" "&amp;D26</f>
        <v>9 sur 10</v>
      </c>
      <c r="E2" s="149"/>
      <c r="F2"/>
      <c r="G2"/>
      <c r="I2"/>
      <c r="J2"/>
      <c r="K2"/>
      <c r="L2"/>
      <c r="M2"/>
      <c r="N2"/>
      <c r="O2"/>
      <c r="P2"/>
      <c r="Q2"/>
      <c r="R2"/>
    </row>
    <row r="3" spans="1:18" x14ac:dyDescent="0.45">
      <c r="A3"/>
      <c r="B3"/>
      <c r="C3"/>
      <c r="D3"/>
      <c r="E3"/>
      <c r="F3"/>
      <c r="G3"/>
      <c r="I3"/>
      <c r="J3"/>
      <c r="K3"/>
      <c r="L3"/>
      <c r="M3"/>
      <c r="N3"/>
      <c r="O3"/>
      <c r="P3"/>
      <c r="Q3"/>
      <c r="R3"/>
    </row>
    <row r="4" spans="1:18" ht="47.25" x14ac:dyDescent="0.45">
      <c r="A4" s="17" t="s">
        <v>36</v>
      </c>
      <c r="B4" s="18" t="s">
        <v>37</v>
      </c>
      <c r="C4" s="19" t="s">
        <v>200</v>
      </c>
      <c r="D4" s="19" t="s">
        <v>199</v>
      </c>
      <c r="E4" s="18" t="s">
        <v>38</v>
      </c>
      <c r="F4" s="19" t="s">
        <v>39</v>
      </c>
      <c r="G4" s="20" t="s">
        <v>40</v>
      </c>
      <c r="I4"/>
      <c r="J4"/>
      <c r="K4"/>
      <c r="L4"/>
      <c r="M4"/>
      <c r="N4"/>
      <c r="O4"/>
      <c r="P4"/>
      <c r="Q4"/>
      <c r="R4"/>
    </row>
    <row r="5" spans="1:18" ht="28.5" x14ac:dyDescent="0.45">
      <c r="A5" s="21" t="str">
        <f>'Données brutes'!$A$9</f>
        <v>Nombre total de terminaux disponibles pour un usage pédagogique :</v>
      </c>
      <c r="B5" s="22">
        <f>IF(AND('Données brutes'!B9&lt;&gt;0,'Données brutes'!B4&lt;&gt;0),'Données brutes'!B4/'Données brutes'!B9,1000)</f>
        <v>1.3333333333333333</v>
      </c>
      <c r="C5" s="23" t="str">
        <f>IF(B5&gt;K5,"Strictement plus de "&amp;K5,IF(B5&gt;M5,"Strictement plus de "&amp;M5&amp;" et moins de "&amp;K5,IF(B5&gt;O5,"Strictement plus de "&amp;O5&amp;" et moins de "&amp;M5,IF(B5&gt;Q5,"Strictement plus de "&amp;Q5&amp;" et moins de "&amp;O5,"Moins de "&amp;Q5))))</f>
        <v>Moins de 1,5</v>
      </c>
      <c r="D5" s="24">
        <f>IF(B5&gt;K5,J5,IF(B5&gt;M5,L5,IF(B5&gt;O5,N5,IF(B5&gt;Q5,P5,R5))))</f>
        <v>5</v>
      </c>
      <c r="E5" s="25">
        <v>2</v>
      </c>
      <c r="F5" s="26">
        <f t="shared" ref="F5:F12" si="0">D5*E5</f>
        <v>10</v>
      </c>
      <c r="G5" s="27">
        <f t="shared" ref="G5:G12" si="1">5*E5</f>
        <v>10</v>
      </c>
      <c r="I5" s="1" t="s">
        <v>41</v>
      </c>
      <c r="J5" s="1">
        <v>1</v>
      </c>
      <c r="K5" s="1">
        <v>3.6</v>
      </c>
      <c r="L5" s="1">
        <v>2</v>
      </c>
      <c r="M5" s="1">
        <v>2.7</v>
      </c>
      <c r="N5" s="1">
        <v>3</v>
      </c>
      <c r="O5" s="1">
        <v>2</v>
      </c>
      <c r="P5" s="1">
        <v>4</v>
      </c>
      <c r="Q5" s="1">
        <v>1.5</v>
      </c>
      <c r="R5" s="1">
        <v>5</v>
      </c>
    </row>
    <row r="6" spans="1:18" ht="28.5" x14ac:dyDescent="0.45">
      <c r="A6" s="28" t="str">
        <f>'Données brutes'!$A$10</f>
        <v>Nombre de terminaux mobiles (ordinateur portable, tablette, poste de classe mobile, smartphone) utilisé en pédagogie :</v>
      </c>
      <c r="B6" s="29">
        <f>IF(AND('Données brutes'!B10&lt;&gt;0,'Données brutes'!B4&lt;&gt;0),'Données brutes'!B4/'Données brutes'!B10,1000)</f>
        <v>13.333333333333334</v>
      </c>
      <c r="C6" s="30" t="str">
        <f>IF(B6&gt;K6,"Strictement plus de "&amp;K6,IF(B6&gt;M6,"Strictement plus de "&amp;M6&amp;" et moins de "&amp;K6,IF(B6&gt;O6,"Strictement plus de "&amp;O6&amp;" et moins de "&amp;M6,IF(B6&gt;Q6,"Strictement plus de "&amp;Q6&amp;" et moins de "&amp;O6,"Moins de "&amp;Q6))))</f>
        <v>Strictement plus de 10 et moins de 20</v>
      </c>
      <c r="D6" s="31">
        <f>IF(B6&gt;K6,J6,IF(B6&gt;M6,L6,IF(B6&gt;O6,N6,IF(B6&gt;Q6,P6,R6))))</f>
        <v>4</v>
      </c>
      <c r="E6" s="32">
        <v>4</v>
      </c>
      <c r="F6" s="31">
        <f t="shared" si="0"/>
        <v>16</v>
      </c>
      <c r="G6" s="33">
        <f t="shared" si="1"/>
        <v>20</v>
      </c>
      <c r="I6" s="1" t="s">
        <v>41</v>
      </c>
      <c r="J6" s="1">
        <v>1</v>
      </c>
      <c r="K6" s="1">
        <v>100</v>
      </c>
      <c r="L6" s="1">
        <v>2</v>
      </c>
      <c r="M6" s="1">
        <v>50</v>
      </c>
      <c r="N6" s="1">
        <v>3</v>
      </c>
      <c r="O6" s="1">
        <v>20</v>
      </c>
      <c r="P6" s="1">
        <v>4</v>
      </c>
      <c r="Q6" s="1">
        <v>10</v>
      </c>
      <c r="R6" s="1">
        <v>5</v>
      </c>
    </row>
    <row r="7" spans="1:18" ht="28.5" x14ac:dyDescent="0.45">
      <c r="A7" s="34" t="str">
        <f>'Données brutes'!$A$11</f>
        <v>Nombre de postes de travail en accès libre aux élèves en dehors des cours (hors classe) :</v>
      </c>
      <c r="B7" s="35">
        <f>IF('Données brutes'!B11&lt;&gt;0,'Données brutes'!B4/'Données brutes'!B11,1000)</f>
        <v>20</v>
      </c>
      <c r="C7" s="36" t="str">
        <f>IF(B7&gt;K7,"Strictement plus de "&amp;K7,IF(B7&gt;M7,"Strictement plus de "&amp;M7&amp;" et moins de "&amp;K7,IF(B7&gt;O7,"Strictement plus de "&amp;O7&amp;" et moins de "&amp;M7,IF(B7&gt;Q7,"Strictement plus de "&amp;Q7&amp;" et moins de "&amp;O7,"Moins de "&amp;Q7))))</f>
        <v>Moins de 20</v>
      </c>
      <c r="D7" s="37">
        <f>IF(B7&gt;K7,J7,IF(B7&gt;M7,L7,IF(B7&gt;O7,N7,IF(B7&gt;Q7,P7,R7))))</f>
        <v>5</v>
      </c>
      <c r="E7" s="38">
        <v>4</v>
      </c>
      <c r="F7" s="39">
        <f t="shared" si="0"/>
        <v>20</v>
      </c>
      <c r="G7" s="40">
        <f t="shared" si="1"/>
        <v>20</v>
      </c>
      <c r="I7" s="1" t="s">
        <v>41</v>
      </c>
      <c r="J7" s="1">
        <v>1</v>
      </c>
      <c r="K7" s="1">
        <v>100</v>
      </c>
      <c r="L7" s="1">
        <v>2</v>
      </c>
      <c r="M7" s="1">
        <v>60</v>
      </c>
      <c r="N7" s="1">
        <v>3</v>
      </c>
      <c r="O7" s="1">
        <v>35</v>
      </c>
      <c r="P7" s="1">
        <v>4</v>
      </c>
      <c r="Q7" s="1">
        <v>20</v>
      </c>
      <c r="R7" s="1">
        <v>5</v>
      </c>
    </row>
    <row r="8" spans="1:18" ht="28.5" x14ac:dyDescent="0.45">
      <c r="A8" s="28" t="str">
        <f>'Données brutes'!$A$12</f>
        <v>Nombre de terminaux (ordinateur fixe, ordinateur portable, tablette) de moins de cinq ans :</v>
      </c>
      <c r="B8" s="41">
        <f>IF('Données brutes'!B9&lt;&gt;0,'Données brutes'!B12/'Données brutes'!B9,0)</f>
        <v>0.76666666666666672</v>
      </c>
      <c r="C8" s="30" t="str">
        <f>IF(B8&lt;K8,"Strictement moins de "&amp;100*K8&amp;" %",IF(B8&lt;M8,"Strictement moins de "&amp;100*M8&amp;" % et plus de "&amp;100*K8&amp;" %",IF(B8&lt;O8,"Strictement moins de "&amp;100*O8&amp;" % et plus de "&amp;100*M8&amp;" %",IF(B8&lt;Q8,"Strictement moins de "&amp;100*Q8&amp;" % et plus de "&amp;100*O8&amp;" %","Plus de "&amp;100*Q8&amp;" %"))))</f>
        <v>Strictement moins de 85 % et plus de 65 %</v>
      </c>
      <c r="D8" s="31">
        <f>IF(B8&lt;K8,J8,IF(B8&lt;M8,L8,IF(B8&lt;O8,N8,IF(B8&lt;Q8,P8,R8))))</f>
        <v>4</v>
      </c>
      <c r="E8" s="32">
        <v>3</v>
      </c>
      <c r="F8" s="31">
        <f t="shared" si="0"/>
        <v>12</v>
      </c>
      <c r="G8" s="33">
        <f t="shared" si="1"/>
        <v>15</v>
      </c>
      <c r="I8" s="42">
        <v>0</v>
      </c>
      <c r="J8" s="1">
        <v>1</v>
      </c>
      <c r="K8" s="42">
        <v>0.35</v>
      </c>
      <c r="L8" s="1">
        <v>2</v>
      </c>
      <c r="M8" s="42">
        <v>0.5</v>
      </c>
      <c r="N8" s="1">
        <v>3</v>
      </c>
      <c r="O8" s="42">
        <v>0.65</v>
      </c>
      <c r="P8" s="1">
        <v>4</v>
      </c>
      <c r="Q8" s="1">
        <v>0.85</v>
      </c>
      <c r="R8" s="1">
        <v>5</v>
      </c>
    </row>
    <row r="9" spans="1:18" ht="28.5" x14ac:dyDescent="0.45">
      <c r="A9" s="34" t="str">
        <f>'Données brutes'!$A$13</f>
        <v>Nombre de VPI/TNI/TBI (vidéoprojecteur interactif, tableau numérique interactif, tableau blanc interactif), écran interactif :</v>
      </c>
      <c r="B9" s="43">
        <f>IF('Données brutes'!B6&lt;&gt;0,'Données brutes'!B13/'Données brutes'!B6,0)</f>
        <v>1.25</v>
      </c>
      <c r="C9" s="36" t="str">
        <f>IF(B9&lt;=K9,"Moins de 20%",IF(B9&lt;=M9,"Strictement plus de 20% et moins de 50%","Strictement plus de 50%"))</f>
        <v>Strictement plus de 50%</v>
      </c>
      <c r="D9" s="37">
        <f>IF(B9&lt;=K9,J9,IF(B9&lt;=M9,L9,N9))</f>
        <v>5</v>
      </c>
      <c r="E9" s="38">
        <v>3</v>
      </c>
      <c r="F9" s="39">
        <f t="shared" si="0"/>
        <v>15</v>
      </c>
      <c r="G9" s="40">
        <f t="shared" si="1"/>
        <v>15</v>
      </c>
      <c r="I9" s="42">
        <v>0</v>
      </c>
      <c r="J9" s="1">
        <v>0</v>
      </c>
      <c r="K9" s="42">
        <v>0.2</v>
      </c>
      <c r="L9" s="1">
        <v>2</v>
      </c>
      <c r="M9" s="42">
        <v>0.5</v>
      </c>
      <c r="N9" s="1">
        <v>5</v>
      </c>
      <c r="O9"/>
      <c r="P9"/>
      <c r="Q9"/>
      <c r="R9"/>
    </row>
    <row r="10" spans="1:18" ht="23.25" x14ac:dyDescent="0.45">
      <c r="A10" s="28" t="str">
        <f>'Données brutes'!$A$14</f>
        <v>Nombre de vidéoprojecteurs, d'écrans vidéo :</v>
      </c>
      <c r="B10" s="41">
        <f>IF('Données brutes'!B6&lt;&gt;0,('Données brutes'!B14+'Données brutes'!B13)/'Données brutes'!B6,0)</f>
        <v>2.5</v>
      </c>
      <c r="C10" s="30" t="str">
        <f>IF(B10&lt;=K10,"Moins de 20%",IF(B10&lt;=M10,"Strictement plus de 20% et moins de 50%","Strictement plus de 50%"))</f>
        <v>Strictement plus de 50%</v>
      </c>
      <c r="D10" s="31">
        <f>IF(B10&lt;=K10,J10,IF(B10&lt;=M10,L10,N10))</f>
        <v>5</v>
      </c>
      <c r="E10" s="32">
        <v>1</v>
      </c>
      <c r="F10" s="31">
        <f t="shared" si="0"/>
        <v>5</v>
      </c>
      <c r="G10" s="33">
        <f t="shared" si="1"/>
        <v>5</v>
      </c>
      <c r="I10" s="42">
        <v>0</v>
      </c>
      <c r="J10" s="1">
        <v>0</v>
      </c>
      <c r="K10" s="42">
        <v>0.2</v>
      </c>
      <c r="L10" s="1">
        <v>1</v>
      </c>
      <c r="M10" s="42">
        <v>0.5</v>
      </c>
      <c r="N10" s="1">
        <v>5</v>
      </c>
      <c r="O10"/>
      <c r="P10"/>
      <c r="Q10"/>
      <c r="R10"/>
    </row>
    <row r="11" spans="1:18" ht="28.5" x14ac:dyDescent="0.45">
      <c r="A11" s="34" t="str">
        <f>'Données brutes'!$A$15</f>
        <v>Dotation des élèves en terminaux mobiles (ordinateur portable, tablette) par la collectivité :</v>
      </c>
      <c r="B11" s="151"/>
      <c r="C11" s="36" t="str">
        <f>'Données brutes'!B15</f>
        <v>Toutes les classes</v>
      </c>
      <c r="D11" s="37">
        <f>IF(C11=0,0,IF(C11=I11,J11,IF(C11=K11,L11,IF(C11=M11,N11,IF(C11=O11,P11,R11)))))</f>
        <v>5</v>
      </c>
      <c r="E11" s="38">
        <v>2</v>
      </c>
      <c r="F11" s="39">
        <f t="shared" si="0"/>
        <v>10</v>
      </c>
      <c r="G11" s="40">
        <f t="shared" si="1"/>
        <v>10</v>
      </c>
      <c r="I11" s="1" t="s">
        <v>42</v>
      </c>
      <c r="J11" s="1">
        <v>0</v>
      </c>
      <c r="K11" s="1" t="s">
        <v>212</v>
      </c>
      <c r="L11" s="1">
        <v>1</v>
      </c>
      <c r="M11" s="1" t="s">
        <v>43</v>
      </c>
      <c r="N11" s="1">
        <v>2</v>
      </c>
      <c r="O11" s="1" t="s">
        <v>44</v>
      </c>
      <c r="P11" s="1">
        <v>4</v>
      </c>
      <c r="Q11" s="1" t="s">
        <v>45</v>
      </c>
      <c r="R11" s="1">
        <v>5</v>
      </c>
    </row>
    <row r="12" spans="1:18" ht="28.5" x14ac:dyDescent="0.45">
      <c r="A12" s="28" t="str">
        <f>'Données brutes'!$A$16</f>
        <v>Dotation des professeurs en terminaux mobiles (ordinateur portable, tablette) par la collectivité :</v>
      </c>
      <c r="B12" s="151"/>
      <c r="C12" s="30" t="str">
        <f>'Données brutes'!B16</f>
        <v>Quelques professeurs</v>
      </c>
      <c r="D12" s="31">
        <f>IF(C12=0,0,IF(équipements!C12=équipements!I12,équipements!J12,IF(équipements!C12=équipements!K12,équipements!L12,équipements!N12)))</f>
        <v>2</v>
      </c>
      <c r="E12" s="32">
        <v>3</v>
      </c>
      <c r="F12" s="31">
        <f t="shared" si="0"/>
        <v>6</v>
      </c>
      <c r="G12" s="33">
        <f t="shared" si="1"/>
        <v>15</v>
      </c>
      <c r="I12" s="1" t="s">
        <v>42</v>
      </c>
      <c r="J12" s="1">
        <v>0</v>
      </c>
      <c r="K12" s="1" t="s">
        <v>213</v>
      </c>
      <c r="L12" s="1">
        <v>2</v>
      </c>
      <c r="M12" s="1" t="s">
        <v>214</v>
      </c>
      <c r="N12" s="1">
        <v>5</v>
      </c>
    </row>
    <row r="13" spans="1:18" ht="28.5" x14ac:dyDescent="0.45">
      <c r="A13" s="152" t="str">
        <f>'Données brutes'!$A$17</f>
        <v>Équipements particuliers :</v>
      </c>
      <c r="B13" s="151"/>
      <c r="C13" s="36" t="str">
        <f>IF('Données brutes'!C17="Oui",'Données brutes'!B17,"-")</f>
        <v>Mallette MP3/MP4, baladodiffusion</v>
      </c>
      <c r="D13" s="37">
        <f t="shared" ref="D13:D19" si="2">IF(C13="-",0,L13)</f>
        <v>2</v>
      </c>
      <c r="E13" s="153">
        <v>1</v>
      </c>
      <c r="F13" s="144">
        <f>SUM(D13:D19)*E13</f>
        <v>14</v>
      </c>
      <c r="G13" s="145">
        <f>SUM(L13:L19)*E13</f>
        <v>15</v>
      </c>
      <c r="I13" s="1" t="s">
        <v>46</v>
      </c>
      <c r="J13" s="1">
        <v>0</v>
      </c>
      <c r="K13" s="1" t="s">
        <v>47</v>
      </c>
      <c r="L13" s="1">
        <v>2</v>
      </c>
      <c r="M13"/>
      <c r="N13"/>
    </row>
    <row r="14" spans="1:18" ht="28.5" x14ac:dyDescent="0.45">
      <c r="A14" s="152"/>
      <c r="B14" s="151"/>
      <c r="C14" s="30" t="str">
        <f>IF('Données brutes'!C18="Oui",'Données brutes'!B18,"-")</f>
        <v>Appareil photo numérique, caméra, montage vidéo</v>
      </c>
      <c r="D14" s="31">
        <f t="shared" si="2"/>
        <v>2</v>
      </c>
      <c r="E14" s="153"/>
      <c r="F14" s="144"/>
      <c r="G14" s="145"/>
      <c r="I14" s="1" t="s">
        <v>46</v>
      </c>
      <c r="J14" s="1">
        <v>0</v>
      </c>
      <c r="K14" s="1" t="s">
        <v>47</v>
      </c>
      <c r="L14" s="1">
        <v>2</v>
      </c>
      <c r="M14"/>
      <c r="N14"/>
    </row>
    <row r="15" spans="1:18" ht="28.5" x14ac:dyDescent="0.45">
      <c r="A15" s="152"/>
      <c r="B15" s="151"/>
      <c r="C15" s="30" t="str">
        <f>IF('Données brutes'!C19="Oui",'Données brutes'!B19,"-")</f>
        <v>Drone, simulateur, objets connectés</v>
      </c>
      <c r="D15" s="37">
        <f t="shared" si="2"/>
        <v>3</v>
      </c>
      <c r="E15" s="153"/>
      <c r="F15" s="144"/>
      <c r="G15" s="145"/>
      <c r="I15" s="1" t="s">
        <v>46</v>
      </c>
      <c r="J15" s="1">
        <v>0</v>
      </c>
      <c r="K15" s="1" t="s">
        <v>47</v>
      </c>
      <c r="L15" s="1">
        <v>3</v>
      </c>
      <c r="M15"/>
      <c r="N15"/>
    </row>
    <row r="16" spans="1:18" ht="23.25" x14ac:dyDescent="0.45">
      <c r="A16" s="152"/>
      <c r="B16" s="151"/>
      <c r="C16" s="30" t="str">
        <f>IF('Données brutes'!C20="Oui",'Données brutes'!B20,"-")</f>
        <v>Fablabs, imprimante 3D</v>
      </c>
      <c r="D16" s="31">
        <f t="shared" si="2"/>
        <v>2</v>
      </c>
      <c r="E16" s="153"/>
      <c r="F16" s="144"/>
      <c r="G16" s="145"/>
      <c r="I16" s="1" t="s">
        <v>46</v>
      </c>
      <c r="J16" s="1">
        <v>0</v>
      </c>
      <c r="K16" s="1" t="s">
        <v>47</v>
      </c>
      <c r="L16" s="1">
        <v>2</v>
      </c>
      <c r="M16"/>
      <c r="N16"/>
    </row>
    <row r="17" spans="1:14" ht="23.25" x14ac:dyDescent="0.45">
      <c r="A17" s="152"/>
      <c r="B17" s="151"/>
      <c r="C17" s="36" t="str">
        <f>IF('Données brutes'!C21="Oui",'Données brutes'!B21,"-")</f>
        <v>Labo de langues</v>
      </c>
      <c r="D17" s="37">
        <f t="shared" si="2"/>
        <v>2</v>
      </c>
      <c r="E17" s="153"/>
      <c r="F17" s="144"/>
      <c r="G17" s="145"/>
      <c r="I17" s="1" t="s">
        <v>46</v>
      </c>
      <c r="J17" s="1">
        <v>0</v>
      </c>
      <c r="K17" s="1" t="s">
        <v>47</v>
      </c>
      <c r="L17" s="1">
        <v>2</v>
      </c>
      <c r="M17"/>
      <c r="N17"/>
    </row>
    <row r="18" spans="1:14" ht="28.5" x14ac:dyDescent="0.45">
      <c r="A18" s="152"/>
      <c r="B18" s="151"/>
      <c r="C18" s="30" t="str">
        <f>IF('Données brutes'!C22="Oui",'Données brutes'!B22,"-")</f>
        <v>Dispositif de visioconférence</v>
      </c>
      <c r="D18" s="31">
        <f t="shared" si="2"/>
        <v>3</v>
      </c>
      <c r="E18" s="153"/>
      <c r="F18" s="144"/>
      <c r="G18" s="145"/>
      <c r="I18" s="1" t="s">
        <v>46</v>
      </c>
      <c r="J18" s="1">
        <v>0</v>
      </c>
      <c r="K18" s="1" t="s">
        <v>47</v>
      </c>
      <c r="L18" s="1">
        <v>3</v>
      </c>
      <c r="M18"/>
      <c r="N18"/>
    </row>
    <row r="19" spans="1:14" ht="23.25" x14ac:dyDescent="0.45">
      <c r="A19" s="152"/>
      <c r="B19" s="151"/>
      <c r="C19" s="36" t="str">
        <f>IF('Données brutes'!C23="Oui",'Données brutes'!B23,"-")</f>
        <v>-</v>
      </c>
      <c r="D19" s="37">
        <f t="shared" si="2"/>
        <v>0</v>
      </c>
      <c r="E19" s="153"/>
      <c r="F19" s="144"/>
      <c r="G19" s="145"/>
      <c r="I19" s="1" t="s">
        <v>46</v>
      </c>
      <c r="J19" s="1">
        <v>0</v>
      </c>
      <c r="K19" s="1" t="s">
        <v>47</v>
      </c>
      <c r="L19" s="1">
        <v>1</v>
      </c>
      <c r="M19"/>
      <c r="N19"/>
    </row>
    <row r="20" spans="1:14" ht="28.5" x14ac:dyDescent="0.45">
      <c r="A20" s="28" t="str">
        <f>'Données brutes'!$A$24</f>
        <v>Maintenance des équipements (maintien en condition opérationnelle) par la collectivité :</v>
      </c>
      <c r="B20" s="151"/>
      <c r="C20" s="30" t="str">
        <f>'Données brutes'!B24</f>
        <v>Oui</v>
      </c>
      <c r="D20" s="31">
        <f>IF(C20=0,0,IF(C20=I20,J20,IF(C20=K20,L20,N20)))</f>
        <v>5</v>
      </c>
      <c r="E20" s="32">
        <v>4</v>
      </c>
      <c r="F20" s="31">
        <f>D20*E20</f>
        <v>20</v>
      </c>
      <c r="G20" s="33">
        <f>5*E20</f>
        <v>20</v>
      </c>
      <c r="I20" s="1" t="s">
        <v>46</v>
      </c>
      <c r="J20" s="1">
        <v>0</v>
      </c>
      <c r="K20" s="1" t="s">
        <v>48</v>
      </c>
      <c r="L20" s="1">
        <v>2</v>
      </c>
      <c r="M20" s="1" t="s">
        <v>47</v>
      </c>
      <c r="N20" s="1">
        <v>5</v>
      </c>
    </row>
    <row r="21" spans="1:14" ht="42.75" x14ac:dyDescent="0.45">
      <c r="A21" s="44" t="str">
        <f>'Données brutes'!$A$25</f>
        <v>L'établissement engage-t-il des moyens propres (budget, décharge, indemnité etc.) sur la maintenance quotidienne des équipements ?</v>
      </c>
      <c r="B21" s="151"/>
      <c r="C21" s="45" t="str">
        <f>'Données brutes'!B25</f>
        <v>Oui</v>
      </c>
      <c r="D21" s="99">
        <f>IF(C21=0,0,IF(C21=I21,J21,IF(C21=K21,L21,0)))</f>
        <v>3</v>
      </c>
      <c r="E21" s="46">
        <v>2</v>
      </c>
      <c r="F21" s="47">
        <f>D21*E21</f>
        <v>6</v>
      </c>
      <c r="G21" s="48">
        <f>3*E21</f>
        <v>6</v>
      </c>
      <c r="I21" s="1" t="s">
        <v>46</v>
      </c>
      <c r="J21" s="1">
        <v>0</v>
      </c>
      <c r="K21" s="1" t="s">
        <v>47</v>
      </c>
      <c r="L21" s="1">
        <v>3</v>
      </c>
    </row>
    <row r="22" spans="1:14" x14ac:dyDescent="0.45">
      <c r="A22"/>
      <c r="B22"/>
      <c r="C22"/>
      <c r="D22"/>
      <c r="E22"/>
    </row>
    <row r="23" spans="1:14" x14ac:dyDescent="0.45">
      <c r="A23"/>
      <c r="B23"/>
      <c r="C23"/>
      <c r="D23"/>
      <c r="E23"/>
    </row>
    <row r="24" spans="1:14" ht="19.5" customHeight="1" x14ac:dyDescent="0.45">
      <c r="A24" s="146" t="s">
        <v>49</v>
      </c>
      <c r="B24" s="146"/>
      <c r="C24" s="49">
        <f>SUM(F5:F21)</f>
        <v>134</v>
      </c>
      <c r="D24" s="147" t="str">
        <f>"sur "&amp;SUM(G5:G21)&amp;" possibles"</f>
        <v>sur 151 possibles</v>
      </c>
      <c r="E24" s="147"/>
    </row>
    <row r="25" spans="1:14" ht="18" x14ac:dyDescent="0.45">
      <c r="A25" s="50"/>
      <c r="B25" s="50"/>
      <c r="C25" s="50"/>
      <c r="D25" s="51"/>
      <c r="E25"/>
    </row>
    <row r="26" spans="1:14" ht="19.5" customHeight="1" x14ac:dyDescent="0.45">
      <c r="A26" s="148" t="s">
        <v>50</v>
      </c>
      <c r="B26" s="148"/>
      <c r="C26" s="52">
        <f>IF(INT(10*C24/SUM(G5:G21))+1&gt;10,10,INT(10*C24/SUM(G5:G21))+1)</f>
        <v>9</v>
      </c>
      <c r="D26" s="149" t="s">
        <v>51</v>
      </c>
      <c r="E26" s="149"/>
    </row>
  </sheetData>
  <sheetProtection pivotTables="0"/>
  <mergeCells count="11">
    <mergeCell ref="D1:E1"/>
    <mergeCell ref="D2:E2"/>
    <mergeCell ref="B11:B21"/>
    <mergeCell ref="A13:A19"/>
    <mergeCell ref="E13:E19"/>
    <mergeCell ref="F13:F19"/>
    <mergeCell ref="G13:G19"/>
    <mergeCell ref="A24:B24"/>
    <mergeCell ref="D24:E24"/>
    <mergeCell ref="A26:B26"/>
    <mergeCell ref="D26:E26"/>
  </mergeCells>
  <conditionalFormatting sqref="F5">
    <cfRule type="iconSet" priority="2">
      <iconSet>
        <cfvo type="percent" val="0"/>
        <cfvo type="formula" val="0.4*$G$5"/>
        <cfvo type="formula" val="0.8*$G$5"/>
      </iconSet>
    </cfRule>
  </conditionalFormatting>
  <conditionalFormatting sqref="F6">
    <cfRule type="iconSet" priority="3">
      <iconSet>
        <cfvo type="percent" val="0"/>
        <cfvo type="formula" val="0.4*$G$6"/>
        <cfvo type="formula" val="0.8*$G$6"/>
      </iconSet>
    </cfRule>
  </conditionalFormatting>
  <conditionalFormatting sqref="F7">
    <cfRule type="iconSet" priority="4">
      <iconSet>
        <cfvo type="percent" val="0"/>
        <cfvo type="formula" val="0.4*$G$7"/>
        <cfvo type="formula" val="0.8*$G$7"/>
      </iconSet>
    </cfRule>
  </conditionalFormatting>
  <conditionalFormatting sqref="F8">
    <cfRule type="iconSet" priority="5">
      <iconSet>
        <cfvo type="percent" val="0"/>
        <cfvo type="formula" val="0.4*$G$8"/>
        <cfvo type="formula" val="0.8*$G$8"/>
      </iconSet>
    </cfRule>
  </conditionalFormatting>
  <conditionalFormatting sqref="F9">
    <cfRule type="iconSet" priority="6">
      <iconSet>
        <cfvo type="percent" val="0"/>
        <cfvo type="formula" val="0.4*$G$9"/>
        <cfvo type="formula" val="0.8*$G$9"/>
      </iconSet>
    </cfRule>
  </conditionalFormatting>
  <conditionalFormatting sqref="F10">
    <cfRule type="iconSet" priority="7">
      <iconSet>
        <cfvo type="percent" val="0"/>
        <cfvo type="formula" val="0.4*$G$10"/>
        <cfvo type="formula" val="0.8*$G$10"/>
      </iconSet>
    </cfRule>
  </conditionalFormatting>
  <conditionalFormatting sqref="F11">
    <cfRule type="iconSet" priority="8">
      <iconSet>
        <cfvo type="percent" val="0"/>
        <cfvo type="formula" val="0.4*$G$11"/>
        <cfvo type="formula" val="0.8*$G$11"/>
      </iconSet>
    </cfRule>
  </conditionalFormatting>
  <conditionalFormatting sqref="F12">
    <cfRule type="iconSet" priority="9">
      <iconSet>
        <cfvo type="percent" val="0"/>
        <cfvo type="formula" val="0.4*$G$12"/>
        <cfvo type="formula" val="0.8*$G$12"/>
      </iconSet>
    </cfRule>
  </conditionalFormatting>
  <conditionalFormatting sqref="F13">
    <cfRule type="iconSet" priority="10">
      <iconSet>
        <cfvo type="percent" val="0"/>
        <cfvo type="formula" val="0.4*$G$13"/>
        <cfvo type="formula" val="0.8*$G$13"/>
      </iconSet>
    </cfRule>
  </conditionalFormatting>
  <conditionalFormatting sqref="F20">
    <cfRule type="iconSet" priority="11">
      <iconSet>
        <cfvo type="percent" val="0"/>
        <cfvo type="formula" val="0.4*$G$20"/>
        <cfvo type="formula" val="0.8*$G$20"/>
      </iconSet>
    </cfRule>
  </conditionalFormatting>
  <conditionalFormatting sqref="F21">
    <cfRule type="iconSet" priority="12">
      <iconSet>
        <cfvo type="percent" val="0"/>
        <cfvo type="formula" val="0.4*$G$21"/>
        <cfvo type="formula" val="0.8*$G$21"/>
      </iconSet>
    </cfRule>
  </conditionalFormatting>
  <pageMargins left="0.23611111111111099" right="0.23611111111111099" top="0.23611111111111099" bottom="0.23611111111111099" header="0.51180555555555496" footer="0.51180555555555496"/>
  <pageSetup paperSize="0" scale="0" firstPageNumber="0" orientation="portrait" usePrinterDefaults="0"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AMJ22"/>
  <sheetViews>
    <sheetView zoomScaleNormal="100" workbookViewId="0"/>
  </sheetViews>
  <sheetFormatPr baseColWidth="10" defaultColWidth="9.1328125" defaultRowHeight="14.25" x14ac:dyDescent="0.45"/>
  <cols>
    <col min="1" max="1" width="56.86328125" style="1"/>
    <col min="2" max="2" width="8.59765625" style="1"/>
    <col min="3" max="3" width="24.1328125" style="1"/>
    <col min="4" max="4" width="15.86328125" style="13"/>
    <col min="5" max="5" width="8.1328125" style="13"/>
    <col min="6" max="6" width="17" style="13"/>
    <col min="7" max="7" width="10.59765625" style="13"/>
    <col min="8" max="8" width="9" style="1" customWidth="1"/>
    <col min="9" max="9" width="19.59765625" style="1" hidden="1" customWidth="1"/>
    <col min="10" max="10" width="2.1328125" style="1" hidden="1" customWidth="1"/>
    <col min="11" max="11" width="24" style="1" hidden="1" customWidth="1"/>
    <col min="12" max="12" width="2.1328125" style="1" hidden="1" customWidth="1"/>
    <col min="13" max="13" width="22.86328125" style="1" hidden="1" customWidth="1"/>
    <col min="14" max="14" width="2.1328125" style="1" hidden="1" customWidth="1"/>
    <col min="15" max="15" width="15.59765625" style="1" hidden="1" customWidth="1"/>
    <col min="16" max="16" width="2.1328125" style="1" hidden="1" customWidth="1"/>
    <col min="17" max="27" width="9" style="1" customWidth="1"/>
    <col min="28" max="1024" width="9" style="1"/>
  </cols>
  <sheetData>
    <row r="1" spans="1:16" ht="30.75" customHeight="1" thickBot="1" x14ac:dyDescent="0.5">
      <c r="A1" s="2" t="s">
        <v>4</v>
      </c>
      <c r="B1" s="14"/>
      <c r="C1" s="15" t="s">
        <v>34</v>
      </c>
      <c r="D1" s="150" t="str">
        <f>C20&amp;" "&amp;D20</f>
        <v>134 sur 170 possibles</v>
      </c>
      <c r="E1" s="150"/>
      <c r="F1"/>
      <c r="G1"/>
      <c r="I1"/>
      <c r="J1"/>
      <c r="K1"/>
      <c r="L1"/>
      <c r="M1"/>
      <c r="N1"/>
      <c r="O1"/>
      <c r="P1"/>
    </row>
    <row r="2" spans="1:16" ht="18.399999999999999" thickBot="1" x14ac:dyDescent="0.5">
      <c r="A2"/>
      <c r="B2"/>
      <c r="C2" s="16" t="s">
        <v>35</v>
      </c>
      <c r="D2" s="149" t="str">
        <f>C22&amp;" "&amp;D22</f>
        <v>8 sur 10</v>
      </c>
      <c r="E2" s="149"/>
      <c r="F2"/>
      <c r="G2"/>
      <c r="I2"/>
      <c r="J2"/>
      <c r="K2"/>
      <c r="L2"/>
      <c r="M2"/>
      <c r="N2"/>
      <c r="O2"/>
      <c r="P2"/>
    </row>
    <row r="3" spans="1:16" ht="14.65" thickBot="1" x14ac:dyDescent="0.5">
      <c r="A3"/>
      <c r="B3"/>
      <c r="C3"/>
      <c r="D3"/>
      <c r="E3"/>
      <c r="F3"/>
      <c r="G3"/>
      <c r="I3"/>
      <c r="J3"/>
      <c r="K3"/>
      <c r="L3"/>
      <c r="M3"/>
      <c r="N3"/>
      <c r="O3"/>
      <c r="P3"/>
    </row>
    <row r="4" spans="1:16" ht="47.65" thickBot="1" x14ac:dyDescent="0.5">
      <c r="A4" s="17" t="s">
        <v>36</v>
      </c>
      <c r="B4" s="18" t="s">
        <v>37</v>
      </c>
      <c r="C4" s="19" t="s">
        <v>200</v>
      </c>
      <c r="D4" s="19" t="s">
        <v>199</v>
      </c>
      <c r="E4" s="18" t="s">
        <v>38</v>
      </c>
      <c r="F4" s="19" t="s">
        <v>39</v>
      </c>
      <c r="G4" s="20" t="s">
        <v>40</v>
      </c>
      <c r="I4"/>
      <c r="J4"/>
      <c r="K4"/>
      <c r="L4"/>
      <c r="M4"/>
      <c r="N4"/>
      <c r="O4"/>
      <c r="P4"/>
    </row>
    <row r="5" spans="1:16" ht="23.25" x14ac:dyDescent="0.45">
      <c r="A5" s="21" t="s">
        <v>137</v>
      </c>
      <c r="B5" s="53">
        <f>IF('Données brutes'!B6:E6&lt;&gt;0,'Données brutes'!B28:E28/'Données brutes'!B6:E6,0)</f>
        <v>0.97499999999999998</v>
      </c>
      <c r="C5" s="23" t="str">
        <f>IF(B5&lt;=K5,"Moins de "&amp;100*K5&amp;" %",IF(B5&lt;=M5," Strictement plus de "&amp;100*K5&amp;" % "&amp;"et moins de "&amp;100*M5&amp;" %","Strictement plus de "&amp;M5*100&amp;" %"))</f>
        <v>Strictement plus de 50 %</v>
      </c>
      <c r="D5" s="26">
        <f>IF(B5&lt;=K5,J5,IF(B5&lt;=M5,L5,N5))</f>
        <v>5</v>
      </c>
      <c r="E5" s="25">
        <v>4</v>
      </c>
      <c r="F5" s="26">
        <f>D5*E5</f>
        <v>20</v>
      </c>
      <c r="G5" s="27">
        <f>5*E5</f>
        <v>20</v>
      </c>
      <c r="I5" s="1">
        <v>0</v>
      </c>
      <c r="J5" s="1">
        <v>0</v>
      </c>
      <c r="K5" s="1">
        <v>0.2</v>
      </c>
      <c r="L5" s="1">
        <v>1</v>
      </c>
      <c r="M5" s="1">
        <v>0.5</v>
      </c>
      <c r="N5" s="1">
        <v>5</v>
      </c>
      <c r="O5"/>
      <c r="P5"/>
    </row>
    <row r="6" spans="1:16" ht="28.5" x14ac:dyDescent="0.45">
      <c r="A6" s="28" t="str">
        <f>'Données brutes'!$A$29</f>
        <v>Débit d'accès à internet :</v>
      </c>
      <c r="B6" s="156"/>
      <c r="C6" s="30" t="str">
        <f>'Données brutes'!B29</f>
        <v>Strictement plus de 10 Mbit/s</v>
      </c>
      <c r="D6" s="31">
        <f>IF(C6=0,0,IF(C6=I6,J6,IF(C6=K6,L6,N6)))</f>
        <v>5</v>
      </c>
      <c r="E6" s="32">
        <v>4</v>
      </c>
      <c r="F6" s="54">
        <f>D6*E6</f>
        <v>20</v>
      </c>
      <c r="G6" s="33">
        <f>5*E6</f>
        <v>20</v>
      </c>
      <c r="I6" s="1" t="s">
        <v>52</v>
      </c>
      <c r="J6" s="1">
        <v>0</v>
      </c>
      <c r="K6" s="1" t="s">
        <v>53</v>
      </c>
      <c r="L6" s="1">
        <v>3</v>
      </c>
      <c r="M6" s="1" t="s">
        <v>54</v>
      </c>
      <c r="N6" s="1">
        <v>5</v>
      </c>
      <c r="O6"/>
      <c r="P6"/>
    </row>
    <row r="7" spans="1:16" ht="28.5" x14ac:dyDescent="0.45">
      <c r="A7" s="34" t="str">
        <f>'Données brutes'!$A$30</f>
        <v>Débit du réseau interne :</v>
      </c>
      <c r="B7" s="156"/>
      <c r="C7" s="36" t="str">
        <f>'Données brutes'!B30</f>
        <v>Strictement plus de 100 et moins de 1000 Mbit/s</v>
      </c>
      <c r="D7" s="31">
        <f>IF(C7=0,0,IF(C7=I7,J7,IF(C7=K7,L7,N7)))</f>
        <v>3</v>
      </c>
      <c r="E7" s="38">
        <v>4</v>
      </c>
      <c r="F7" s="26">
        <f>D7*E7</f>
        <v>12</v>
      </c>
      <c r="G7" s="40">
        <f>5*E7</f>
        <v>20</v>
      </c>
      <c r="I7" s="55" t="s">
        <v>55</v>
      </c>
      <c r="J7" s="56">
        <v>0</v>
      </c>
      <c r="K7" s="57" t="s">
        <v>56</v>
      </c>
      <c r="L7" s="56">
        <v>3</v>
      </c>
      <c r="M7" s="57" t="s">
        <v>57</v>
      </c>
      <c r="N7" s="1">
        <v>5</v>
      </c>
      <c r="O7"/>
      <c r="P7"/>
    </row>
    <row r="8" spans="1:16" ht="23.25" x14ac:dyDescent="0.45">
      <c r="A8" s="28" t="str">
        <f>'Données brutes'!$A$31</f>
        <v>Évaluation de la qualité du débit internet par rapport aux besoins :</v>
      </c>
      <c r="B8" s="156"/>
      <c r="C8" s="30" t="str">
        <f>'Données brutes'!B31</f>
        <v>Suffisante</v>
      </c>
      <c r="D8" s="110">
        <f>IF(C8=0,0,IF(C8=I8,J8,L8))</f>
        <v>5</v>
      </c>
      <c r="E8" s="32">
        <v>4</v>
      </c>
      <c r="F8" s="54">
        <f>D8*E8</f>
        <v>20</v>
      </c>
      <c r="G8" s="33">
        <f>5*E8</f>
        <v>20</v>
      </c>
      <c r="I8" s="1" t="s">
        <v>58</v>
      </c>
      <c r="J8" s="1">
        <v>0</v>
      </c>
      <c r="K8" s="1" t="s">
        <v>59</v>
      </c>
      <c r="L8" s="1">
        <v>5</v>
      </c>
      <c r="M8"/>
      <c r="N8"/>
      <c r="O8"/>
      <c r="P8"/>
    </row>
    <row r="9" spans="1:16" ht="28.5" x14ac:dyDescent="0.45">
      <c r="A9" s="34" t="str">
        <f>'Données brutes'!$A$32</f>
        <v>Évaluation de la qualité du débit du réseau interne par rapport aux besoins :</v>
      </c>
      <c r="B9" s="156"/>
      <c r="C9" s="36" t="str">
        <f>'Données brutes'!B32</f>
        <v>Suffisante</v>
      </c>
      <c r="D9" s="39">
        <f>IF(C9=0,0,IF(C9=I9,J9,IF(C9=K9,L9,N9)))</f>
        <v>5</v>
      </c>
      <c r="E9" s="38">
        <v>4</v>
      </c>
      <c r="F9" s="26">
        <f>D9*E9</f>
        <v>20</v>
      </c>
      <c r="G9" s="40">
        <f>5*E9</f>
        <v>20</v>
      </c>
      <c r="I9" s="1" t="s">
        <v>58</v>
      </c>
      <c r="J9" s="1">
        <v>1</v>
      </c>
      <c r="K9" s="1" t="s">
        <v>59</v>
      </c>
      <c r="L9" s="1">
        <v>5</v>
      </c>
      <c r="M9" s="1" t="s">
        <v>60</v>
      </c>
      <c r="N9" s="1">
        <v>0</v>
      </c>
      <c r="O9"/>
      <c r="P9"/>
    </row>
    <row r="10" spans="1:16" ht="23.25" customHeight="1" x14ac:dyDescent="0.45">
      <c r="A10" s="157" t="str">
        <f>'Données brutes'!$A$33</f>
        <v>Réseau pédagogique :</v>
      </c>
      <c r="B10" s="156"/>
      <c r="C10" s="30" t="str">
        <f>IF('Données brutes'!C33="Oui",'Données brutes'!B33,"-")</f>
        <v>Pare-feu</v>
      </c>
      <c r="D10" s="31">
        <f>IF(C10=I10,J10,L10)</f>
        <v>2</v>
      </c>
      <c r="E10" s="158">
        <v>2</v>
      </c>
      <c r="F10" s="154">
        <f>SUM(D10:D13)*E10</f>
        <v>14</v>
      </c>
      <c r="G10" s="155">
        <f>SUM(L10:L13)*E10</f>
        <v>20</v>
      </c>
      <c r="I10" s="1" t="s">
        <v>61</v>
      </c>
      <c r="J10" s="1">
        <v>0</v>
      </c>
      <c r="K10" s="1" t="s">
        <v>47</v>
      </c>
      <c r="L10" s="1">
        <v>2</v>
      </c>
      <c r="M10"/>
      <c r="N10"/>
      <c r="O10"/>
      <c r="P10"/>
    </row>
    <row r="11" spans="1:16" ht="23.25" x14ac:dyDescent="0.45">
      <c r="A11" s="157"/>
      <c r="B11" s="156"/>
      <c r="C11" s="36" t="str">
        <f>IF('Données brutes'!C34="Oui",'Données brutes'!B34,"-")</f>
        <v>Antivirus</v>
      </c>
      <c r="D11" s="39">
        <f>IF(C11=I11,J11,L11)</f>
        <v>2</v>
      </c>
      <c r="E11" s="158"/>
      <c r="F11" s="154"/>
      <c r="G11" s="155"/>
      <c r="I11" s="1" t="s">
        <v>61</v>
      </c>
      <c r="J11" s="1">
        <v>0</v>
      </c>
      <c r="K11" s="1" t="s">
        <v>47</v>
      </c>
      <c r="L11" s="1">
        <v>2</v>
      </c>
      <c r="M11"/>
      <c r="N11"/>
      <c r="O11"/>
      <c r="P11"/>
    </row>
    <row r="12" spans="1:16" ht="23.25" x14ac:dyDescent="0.45">
      <c r="A12" s="157"/>
      <c r="B12" s="156"/>
      <c r="C12" s="30" t="str">
        <f>IF('Données brutes'!C35="Oui",'Données brutes'!B35,"-")</f>
        <v>Filtrage</v>
      </c>
      <c r="D12" s="31">
        <f>IF(C12=I12,J12,L12)</f>
        <v>3</v>
      </c>
      <c r="E12" s="158"/>
      <c r="F12" s="154"/>
      <c r="G12" s="155"/>
      <c r="I12" s="1" t="s">
        <v>61</v>
      </c>
      <c r="J12" s="1">
        <v>0</v>
      </c>
      <c r="K12" s="1" t="s">
        <v>47</v>
      </c>
      <c r="L12" s="1">
        <v>3</v>
      </c>
      <c r="M12"/>
      <c r="N12"/>
      <c r="O12"/>
      <c r="P12"/>
    </row>
    <row r="13" spans="1:16" ht="23.25" x14ac:dyDescent="0.45">
      <c r="A13" s="157"/>
      <c r="B13" s="156"/>
      <c r="C13" s="36" t="str">
        <f>IF('Données brutes'!C36="Oui",'Données brutes'!B36,"-")</f>
        <v>-</v>
      </c>
      <c r="D13" s="39">
        <f>IF(C13=I13,J13,L13)</f>
        <v>0</v>
      </c>
      <c r="E13" s="158"/>
      <c r="F13" s="154"/>
      <c r="G13" s="155"/>
      <c r="I13" s="1" t="s">
        <v>61</v>
      </c>
      <c r="J13" s="1">
        <v>0</v>
      </c>
      <c r="K13" s="1" t="s">
        <v>47</v>
      </c>
      <c r="L13" s="1">
        <v>3</v>
      </c>
      <c r="M13"/>
      <c r="N13"/>
      <c r="O13"/>
      <c r="P13"/>
    </row>
    <row r="14" spans="1:16" ht="28.5" x14ac:dyDescent="0.45">
      <c r="A14" s="34" t="str">
        <f>'Données brutes'!$A$37</f>
        <v>Proportion des espaces (hors salle de classe) couverts par WiFi avec un portail captif :</v>
      </c>
      <c r="B14" s="156"/>
      <c r="C14" s="36" t="str">
        <f>'Données brutes'!B37</f>
        <v>Strictement moins d'un quart</v>
      </c>
      <c r="D14" s="39">
        <f>IF(C14=0,0,IF(C14=I14,J14,IF(C14=K14,L14,IF(C14=M14,N14,P14))))</f>
        <v>1</v>
      </c>
      <c r="E14" s="38">
        <v>2</v>
      </c>
      <c r="F14" s="26">
        <f>D14*E14</f>
        <v>2</v>
      </c>
      <c r="G14" s="40">
        <f>5*E14</f>
        <v>10</v>
      </c>
      <c r="I14" s="1" t="s">
        <v>62</v>
      </c>
      <c r="J14" s="1">
        <v>0</v>
      </c>
      <c r="K14" s="1" t="s">
        <v>63</v>
      </c>
      <c r="L14" s="1">
        <v>1</v>
      </c>
      <c r="M14" s="1" t="s">
        <v>64</v>
      </c>
      <c r="N14" s="1">
        <v>3</v>
      </c>
      <c r="O14" s="1" t="s">
        <v>65</v>
      </c>
      <c r="P14" s="1">
        <v>5</v>
      </c>
    </row>
    <row r="15" spans="1:16" ht="23.25" x14ac:dyDescent="0.45">
      <c r="A15" s="28" t="s">
        <v>66</v>
      </c>
      <c r="B15" s="41">
        <f>IF('Données brutes'!B6:E6&lt;&gt;0,'Données brutes'!B38:E38/'Données brutes'!B6:E6,0)</f>
        <v>0.75</v>
      </c>
      <c r="C15" s="30" t="str">
        <f>IF(B15=0,"Aucune salle",IF(B15&lt;0.5,"Strictement moins de la moitié","Plus de la moitié"))</f>
        <v>Plus de la moitié</v>
      </c>
      <c r="D15" s="31">
        <f>IF(B15=0,J15,IF(B15&lt;0.5,L15,N15))</f>
        <v>5</v>
      </c>
      <c r="E15" s="32">
        <v>4</v>
      </c>
      <c r="F15" s="54">
        <f>D15*E15</f>
        <v>20</v>
      </c>
      <c r="G15" s="33">
        <f>5*E15</f>
        <v>20</v>
      </c>
      <c r="I15" s="1">
        <v>0</v>
      </c>
      <c r="J15" s="1">
        <v>0</v>
      </c>
      <c r="K15" s="1">
        <v>0.5</v>
      </c>
      <c r="L15" s="1">
        <v>3</v>
      </c>
      <c r="M15" s="1">
        <v>1</v>
      </c>
      <c r="N15" s="1">
        <v>5</v>
      </c>
    </row>
    <row r="16" spans="1:16" ht="28.9" thickBot="1" x14ac:dyDescent="0.5">
      <c r="A16" s="34" t="str">
        <f>'Données brutes'!$A$39</f>
        <v>Évaluation de la couverture du réseau WiFi par rapport aux besoins :</v>
      </c>
      <c r="B16" s="151"/>
      <c r="C16" s="36" t="str">
        <f>'Données brutes'!B39</f>
        <v>Insuffisante</v>
      </c>
      <c r="D16" s="39">
        <f>IF(C16=0,0,IF(C16=I16,J16,L16))</f>
        <v>0</v>
      </c>
      <c r="E16" s="38">
        <v>2</v>
      </c>
      <c r="F16" s="26">
        <f>D16*E16</f>
        <v>0</v>
      </c>
      <c r="G16" s="40">
        <f>5*E16</f>
        <v>10</v>
      </c>
      <c r="I16" s="1" t="s">
        <v>58</v>
      </c>
      <c r="J16" s="1">
        <v>0</v>
      </c>
      <c r="K16" s="1" t="s">
        <v>59</v>
      </c>
      <c r="L16" s="1">
        <v>5</v>
      </c>
      <c r="M16"/>
      <c r="N16"/>
    </row>
    <row r="17" spans="1:14" ht="28.9" thickBot="1" x14ac:dyDescent="0.5">
      <c r="A17" s="58" t="str">
        <f>'Données brutes'!$A$40</f>
        <v>Possibilité pour les utilisateurs de recharger les équipements mobiles :</v>
      </c>
      <c r="B17" s="151"/>
      <c r="C17" s="30" t="str">
        <f>'Données brutes'!B40</f>
        <v>Oui, partiellement</v>
      </c>
      <c r="D17" s="59">
        <f>IF(C17=0,0,IF(C17=I17,J17,IF(C17=K17,L17,N17)))</f>
        <v>3</v>
      </c>
      <c r="E17" s="60">
        <v>2</v>
      </c>
      <c r="F17" s="54">
        <f>D17*E17</f>
        <v>6</v>
      </c>
      <c r="G17" s="61">
        <f>5*E17</f>
        <v>10</v>
      </c>
      <c r="I17" s="1" t="s">
        <v>46</v>
      </c>
      <c r="J17" s="1">
        <v>0</v>
      </c>
      <c r="K17" s="1" t="s">
        <v>67</v>
      </c>
      <c r="L17" s="1">
        <v>3</v>
      </c>
      <c r="M17" s="1" t="s">
        <v>68</v>
      </c>
      <c r="N17" s="1">
        <v>5</v>
      </c>
    </row>
    <row r="18" spans="1:14" x14ac:dyDescent="0.45">
      <c r="A18"/>
      <c r="B18"/>
      <c r="C18"/>
      <c r="D18"/>
      <c r="E18"/>
    </row>
    <row r="19" spans="1:14" ht="14.65" thickBot="1" x14ac:dyDescent="0.5">
      <c r="A19"/>
      <c r="B19"/>
      <c r="C19"/>
      <c r="D19"/>
      <c r="E19"/>
    </row>
    <row r="20" spans="1:14" ht="18.399999999999999" thickBot="1" x14ac:dyDescent="0.5">
      <c r="A20" s="62" t="s">
        <v>69</v>
      </c>
      <c r="B20" s="63"/>
      <c r="C20" s="49">
        <f>SUM(F5:F17)</f>
        <v>134</v>
      </c>
      <c r="D20" s="147" t="str">
        <f>"sur "&amp;SUM(G5:G17)&amp;" possibles"</f>
        <v>sur 170 possibles</v>
      </c>
      <c r="E20" s="147"/>
    </row>
    <row r="21" spans="1:14" ht="18.399999999999999" thickBot="1" x14ac:dyDescent="0.5">
      <c r="A21" s="50"/>
      <c r="B21" s="50"/>
      <c r="C21" s="50"/>
      <c r="D21" s="51"/>
      <c r="E21"/>
    </row>
    <row r="22" spans="1:14" ht="19.5" customHeight="1" thickBot="1" x14ac:dyDescent="0.5">
      <c r="A22" s="16" t="s">
        <v>70</v>
      </c>
      <c r="B22" s="52"/>
      <c r="C22" s="52">
        <f>IF(INT(10*C20/SUM(G5:G17))+1&gt;10,10,INT(10*C20/SUM(G5:G17))+1)</f>
        <v>8</v>
      </c>
      <c r="D22" s="149" t="s">
        <v>51</v>
      </c>
      <c r="E22" s="149"/>
    </row>
  </sheetData>
  <sheetProtection pivotTables="0"/>
  <mergeCells count="10">
    <mergeCell ref="D1:E1"/>
    <mergeCell ref="D2:E2"/>
    <mergeCell ref="B6:B14"/>
    <mergeCell ref="A10:A13"/>
    <mergeCell ref="E10:E13"/>
    <mergeCell ref="F10:F13"/>
    <mergeCell ref="G10:G13"/>
    <mergeCell ref="B16:B17"/>
    <mergeCell ref="D20:E20"/>
    <mergeCell ref="D22:E22"/>
  </mergeCells>
  <conditionalFormatting sqref="F5">
    <cfRule type="iconSet" priority="2">
      <iconSet>
        <cfvo type="percent" val="0"/>
        <cfvo type="formula" val="0.4*$G$5"/>
        <cfvo type="formula" val="0.8*$G$5"/>
      </iconSet>
    </cfRule>
  </conditionalFormatting>
  <conditionalFormatting sqref="F6">
    <cfRule type="iconSet" priority="3">
      <iconSet>
        <cfvo type="percent" val="0"/>
        <cfvo type="formula" val="0.4*$G$6"/>
        <cfvo type="formula" val="0.8*$G$6"/>
      </iconSet>
    </cfRule>
  </conditionalFormatting>
  <conditionalFormatting sqref="F7">
    <cfRule type="iconSet" priority="4">
      <iconSet>
        <cfvo type="percent" val="0"/>
        <cfvo type="formula" val="0.4*$G$7"/>
        <cfvo type="formula" val="0.8*$G$7"/>
      </iconSet>
    </cfRule>
  </conditionalFormatting>
  <conditionalFormatting sqref="F8">
    <cfRule type="iconSet" priority="5">
      <iconSet>
        <cfvo type="percent" val="0"/>
        <cfvo type="formula" val="0.4*$G$8"/>
        <cfvo type="formula" val="0.8*$G$8"/>
      </iconSet>
    </cfRule>
  </conditionalFormatting>
  <conditionalFormatting sqref="F9">
    <cfRule type="iconSet" priority="6">
      <iconSet>
        <cfvo type="percent" val="0"/>
        <cfvo type="formula" val="0.4*$G$9"/>
        <cfvo type="formula" val="0.8*$G$9"/>
      </iconSet>
    </cfRule>
  </conditionalFormatting>
  <conditionalFormatting sqref="F10">
    <cfRule type="iconSet" priority="7">
      <iconSet>
        <cfvo type="percent" val="0"/>
        <cfvo type="formula" val="0.4*$G$10"/>
        <cfvo type="formula" val="0.8*$G$10"/>
      </iconSet>
    </cfRule>
  </conditionalFormatting>
  <conditionalFormatting sqref="F14">
    <cfRule type="iconSet" priority="8">
      <iconSet>
        <cfvo type="percent" val="0"/>
        <cfvo type="formula" val="0.4*$G$14"/>
        <cfvo type="formula" val="0.8*$G$14"/>
      </iconSet>
    </cfRule>
  </conditionalFormatting>
  <conditionalFormatting sqref="F15">
    <cfRule type="iconSet" priority="9">
      <iconSet>
        <cfvo type="percent" val="0"/>
        <cfvo type="formula" val="0.4*$G$15"/>
        <cfvo type="formula" val="0.8*$G$15"/>
      </iconSet>
    </cfRule>
  </conditionalFormatting>
  <conditionalFormatting sqref="F16">
    <cfRule type="iconSet" priority="10">
      <iconSet>
        <cfvo type="percent" val="0"/>
        <cfvo type="formula" val="0.4*$G$16"/>
        <cfvo type="formula" val="0.8*$G$16"/>
      </iconSet>
    </cfRule>
  </conditionalFormatting>
  <conditionalFormatting sqref="F17">
    <cfRule type="iconSet" priority="11">
      <iconSet>
        <cfvo type="percent" val="0"/>
        <cfvo type="formula" val="0.4*$G$17"/>
        <cfvo type="formula" val="0.8*$G$17"/>
      </iconSet>
    </cfRule>
  </conditionalFormatting>
  <pageMargins left="0.23611111111111099" right="0.23611111111111099" top="0.23611111111111099" bottom="0.23611111111111099" header="0.51180555555555496" footer="0.51180555555555496"/>
  <pageSetup paperSize="9" firstPageNumber="0" orientation="portrait" horizontalDpi="0" verticalDpi="0" r:id="rId1"/>
  <ignoredErrors>
    <ignoredError sqref="D8"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S22"/>
  <sheetViews>
    <sheetView zoomScaleNormal="100" workbookViewId="0"/>
  </sheetViews>
  <sheetFormatPr baseColWidth="10" defaultColWidth="9.1328125" defaultRowHeight="14.25" x14ac:dyDescent="0.45"/>
  <cols>
    <col min="1" max="1" width="59.265625" style="1" customWidth="1"/>
    <col min="2" max="2" width="28" style="1"/>
    <col min="3" max="3" width="15.86328125" style="13"/>
    <col min="4" max="4" width="8.1328125" style="13"/>
    <col min="5" max="5" width="17" style="13"/>
    <col min="6" max="6" width="10.59765625" style="13"/>
    <col min="7" max="7" width="9" style="1" customWidth="1"/>
    <col min="8" max="8" width="17.1328125" style="1" hidden="1" customWidth="1"/>
    <col min="9" max="9" width="2.1328125" style="1" hidden="1" customWidth="1"/>
    <col min="10" max="10" width="18.73046875" style="1" hidden="1" customWidth="1"/>
    <col min="11" max="12" width="2.1328125" hidden="1" customWidth="1"/>
    <col min="13" max="13" width="17.1328125" style="100" hidden="1" customWidth="1"/>
    <col min="14" max="15" width="2.1328125" hidden="1" customWidth="1"/>
    <col min="16" max="16" width="30" style="100" hidden="1" customWidth="1"/>
    <col min="17" max="17" width="2.1328125" hidden="1" customWidth="1"/>
    <col min="18" max="18" width="2.1328125" bestFit="1" customWidth="1"/>
    <col min="19" max="19" width="14.59765625" bestFit="1" customWidth="1"/>
    <col min="20" max="20" width="2.1328125" bestFit="1" customWidth="1"/>
    <col min="21" max="21" width="15.73046875" customWidth="1"/>
    <col min="22" max="27" width="9" customWidth="1"/>
    <col min="28" max="1024" width="10.3984375"/>
  </cols>
  <sheetData>
    <row r="1" spans="1:19" ht="25.9" thickBot="1" x14ac:dyDescent="0.5">
      <c r="A1" s="2" t="s">
        <v>16</v>
      </c>
      <c r="B1"/>
      <c r="C1" s="15" t="s">
        <v>34</v>
      </c>
      <c r="D1" s="150" t="str">
        <f>B20&amp;" "&amp;C20</f>
        <v>76 sur 154 possibles</v>
      </c>
      <c r="E1" s="150"/>
      <c r="F1"/>
      <c r="H1" s="100"/>
      <c r="I1"/>
      <c r="J1" s="100"/>
    </row>
    <row r="2" spans="1:19" ht="18.399999999999999" thickBot="1" x14ac:dyDescent="0.5">
      <c r="A2"/>
      <c r="B2"/>
      <c r="C2" s="16" t="s">
        <v>35</v>
      </c>
      <c r="D2" s="149" t="str">
        <f>B22&amp;" "&amp;C22</f>
        <v>5 sur 10</v>
      </c>
      <c r="E2" s="149"/>
      <c r="F2"/>
      <c r="H2" s="100"/>
      <c r="I2"/>
      <c r="J2" s="100"/>
    </row>
    <row r="3" spans="1:19" ht="14.65" thickBot="1" x14ac:dyDescent="0.5">
      <c r="A3"/>
      <c r="B3"/>
      <c r="C3"/>
      <c r="D3"/>
      <c r="E3"/>
      <c r="F3"/>
      <c r="H3" s="100"/>
      <c r="I3"/>
      <c r="J3" s="100"/>
    </row>
    <row r="4" spans="1:19" ht="47.65" thickBot="1" x14ac:dyDescent="0.5">
      <c r="A4" s="17" t="s">
        <v>36</v>
      </c>
      <c r="B4" s="19" t="s">
        <v>200</v>
      </c>
      <c r="C4" s="19" t="s">
        <v>199</v>
      </c>
      <c r="D4" s="18" t="s">
        <v>38</v>
      </c>
      <c r="E4" s="19" t="s">
        <v>39</v>
      </c>
      <c r="F4" s="20" t="s">
        <v>40</v>
      </c>
      <c r="H4" s="100"/>
      <c r="I4"/>
      <c r="J4" s="100"/>
    </row>
    <row r="5" spans="1:19" ht="23.25" customHeight="1" thickBot="1" x14ac:dyDescent="0.5">
      <c r="A5" s="159" t="str">
        <f>'Données brutes'!$A$43</f>
        <v>ENT - Espace Numérique de Travail - ENE - Espace Numérique Educatif - RSC - Réseau Social Collaboratif</v>
      </c>
      <c r="B5" s="64">
        <f>'Données brutes'!B43</f>
        <v>0</v>
      </c>
      <c r="C5" s="65"/>
      <c r="D5" s="160">
        <v>4</v>
      </c>
      <c r="E5" s="161">
        <f>SUM(C5:C7)*D5</f>
        <v>0</v>
      </c>
      <c r="F5" s="162">
        <f>SUM(K6:K7)*D5</f>
        <v>24</v>
      </c>
      <c r="H5" s="100"/>
      <c r="I5"/>
      <c r="J5" s="100"/>
    </row>
    <row r="6" spans="1:19" ht="28.9" thickBot="1" x14ac:dyDescent="0.5">
      <c r="A6" s="159"/>
      <c r="B6" s="69" t="str">
        <f>IF('Données brutes'!E44="Non","-","Déploiement à tous les utilisateurs")</f>
        <v>Déploiement à tous les utilisateurs</v>
      </c>
      <c r="C6" s="54">
        <f>IF(B5=0,0,IF(B5="Non",0,IF('Données brutes'!E44="",0,IF('Données brutes'!E44="Non",I6,K6))))</f>
        <v>0</v>
      </c>
      <c r="D6" s="160"/>
      <c r="E6" s="161"/>
      <c r="F6" s="162"/>
      <c r="H6" s="1" t="s">
        <v>46</v>
      </c>
      <c r="I6" s="1">
        <v>1</v>
      </c>
      <c r="J6" s="1" t="s">
        <v>47</v>
      </c>
      <c r="K6">
        <v>3</v>
      </c>
    </row>
    <row r="7" spans="1:19" ht="23.25" x14ac:dyDescent="0.45">
      <c r="A7" s="159"/>
      <c r="B7" s="23" t="str">
        <f>IF('Données brutes'!E45="Non","-","Déploiement de tous les services")</f>
        <v>Déploiement de tous les services</v>
      </c>
      <c r="C7" s="26">
        <f>IF(B5=0,0,IF(B5="Non",0,IF('Données brutes'!E45="",0,IF('Données brutes'!E45="Non",I7,K7))))</f>
        <v>0</v>
      </c>
      <c r="D7" s="160"/>
      <c r="E7" s="161"/>
      <c r="F7" s="162"/>
      <c r="H7" s="1" t="s">
        <v>46</v>
      </c>
      <c r="I7" s="1">
        <v>1</v>
      </c>
      <c r="J7" s="1" t="s">
        <v>47</v>
      </c>
      <c r="K7">
        <v>3</v>
      </c>
    </row>
    <row r="8" spans="1:19" ht="71.25" x14ac:dyDescent="0.45">
      <c r="A8" s="28" t="str">
        <f>'Données brutes'!$A$46</f>
        <v>Site web de communication de l'établissement conforme au Référentiel Général d'Accessibilité des Administrations RGAA et présence de l'établissement sur les principaux réseaux sociaux RSN :</v>
      </c>
      <c r="B8" s="30" t="str">
        <f>'Données brutes'!B46</f>
        <v>Site web hébergé à l'extérieur (hors ENT) chez un hébergeur privé et présence sur au moins un RSN</v>
      </c>
      <c r="C8" s="31">
        <f>IF(B8=0,0,IF(B8=H8,I8,IF(B5="Non",IF(B8=J8,L8,O8),IF(B8=J8,K8,IF(B8=M8,N8,Q8)))))</f>
        <v>1</v>
      </c>
      <c r="D8" s="32">
        <v>2</v>
      </c>
      <c r="E8" s="31">
        <f t="shared" ref="E8:E17" si="0">C8*D8</f>
        <v>2</v>
      </c>
      <c r="F8" s="33">
        <f t="shared" ref="F8:F17" si="1">5*D8</f>
        <v>10</v>
      </c>
      <c r="H8" s="1" t="s">
        <v>46</v>
      </c>
      <c r="I8" s="1">
        <v>0</v>
      </c>
      <c r="J8" s="70" t="s">
        <v>216</v>
      </c>
      <c r="K8" s="71">
        <v>1</v>
      </c>
      <c r="L8" s="72">
        <v>2</v>
      </c>
      <c r="M8" s="70" t="s">
        <v>229</v>
      </c>
      <c r="N8" s="71">
        <v>3</v>
      </c>
      <c r="O8" s="72">
        <v>5</v>
      </c>
      <c r="P8" s="71" t="s">
        <v>230</v>
      </c>
      <c r="Q8" s="71">
        <v>5</v>
      </c>
      <c r="R8" s="71"/>
      <c r="S8" s="72"/>
    </row>
    <row r="9" spans="1:19" ht="23.25" x14ac:dyDescent="0.45">
      <c r="A9" s="34" t="str">
        <f>'Données brutes'!$A$47</f>
        <v>Notes, absences, emploi du temps :</v>
      </c>
      <c r="B9" s="36" t="str">
        <f>'Données brutes'!B47</f>
        <v>Éditeur privé</v>
      </c>
      <c r="C9" s="118">
        <f>IF(B9=0,0,IF(B9=H9,I9,IF(B6="Non",IF(B9=J9,L9,O9),IF(B9=J9,K9,IF(B9=M9,N9,Q9)))))</f>
        <v>3</v>
      </c>
      <c r="D9" s="38">
        <v>2</v>
      </c>
      <c r="E9" s="39">
        <f t="shared" si="0"/>
        <v>6</v>
      </c>
      <c r="F9" s="40">
        <f t="shared" si="1"/>
        <v>10</v>
      </c>
      <c r="H9" s="1" t="s">
        <v>71</v>
      </c>
      <c r="I9" s="1">
        <v>3</v>
      </c>
      <c r="J9" s="73"/>
      <c r="K9" s="72"/>
      <c r="L9" s="72"/>
      <c r="M9" s="75" t="s">
        <v>72</v>
      </c>
      <c r="N9" s="72">
        <v>5</v>
      </c>
      <c r="O9" s="72"/>
      <c r="P9" s="74"/>
      <c r="Q9" s="72"/>
      <c r="R9" s="72"/>
      <c r="S9" s="75"/>
    </row>
    <row r="10" spans="1:19" ht="23.25" x14ac:dyDescent="0.45">
      <c r="A10" s="28" t="str">
        <f>'Données brutes'!$A$48</f>
        <v>Appel dématérialisé des élèves au début de l'heure de cours  :</v>
      </c>
      <c r="B10" s="30" t="str">
        <f>'Données brutes'!B48</f>
        <v>Oui, partiellement</v>
      </c>
      <c r="C10" s="31">
        <f>IF(B10=0,0,IF(B10=H10,I10,IF(B10=J10,K10,N10)))</f>
        <v>3</v>
      </c>
      <c r="D10" s="32">
        <v>3</v>
      </c>
      <c r="E10" s="31">
        <f t="shared" si="0"/>
        <v>9</v>
      </c>
      <c r="F10" s="33">
        <f t="shared" si="1"/>
        <v>15</v>
      </c>
      <c r="H10" s="1" t="s">
        <v>46</v>
      </c>
      <c r="I10" s="1">
        <v>0</v>
      </c>
      <c r="J10" s="73" t="s">
        <v>67</v>
      </c>
      <c r="K10" s="72">
        <v>3</v>
      </c>
      <c r="L10" s="72"/>
      <c r="M10" s="74" t="s">
        <v>47</v>
      </c>
      <c r="N10" s="72">
        <v>5</v>
      </c>
      <c r="O10" s="72"/>
      <c r="P10" s="74"/>
      <c r="Q10" s="72"/>
      <c r="R10" s="72"/>
      <c r="S10" s="72"/>
    </row>
    <row r="11" spans="1:19" ht="57" x14ac:dyDescent="0.45">
      <c r="A11" s="34" t="str">
        <f>'Données brutes'!$A$49</f>
        <v>Messagerie interne (y compris SMS ou mail aux familles)  :</v>
      </c>
      <c r="B11" s="36" t="str">
        <f>'Données brutes'!B49</f>
        <v>Intégrée dans le réseau pédagogique local ou via des outils dédiés</v>
      </c>
      <c r="C11" s="39">
        <f>IF(B11=0,0,IF(B11=H11,0,IF(B5="Non",L11,IF(B11=J11,K11,N11))))</f>
        <v>3</v>
      </c>
      <c r="D11" s="38">
        <v>2</v>
      </c>
      <c r="E11" s="39">
        <f t="shared" si="0"/>
        <v>6</v>
      </c>
      <c r="F11" s="40">
        <f t="shared" si="1"/>
        <v>10</v>
      </c>
      <c r="H11" s="1" t="s">
        <v>73</v>
      </c>
      <c r="I11" s="1">
        <v>0</v>
      </c>
      <c r="J11" s="73" t="s">
        <v>74</v>
      </c>
      <c r="K11" s="72">
        <v>3</v>
      </c>
      <c r="L11" s="72">
        <v>5</v>
      </c>
      <c r="M11" s="75" t="s">
        <v>75</v>
      </c>
      <c r="N11" s="75">
        <v>5</v>
      </c>
      <c r="O11" s="72"/>
      <c r="P11" s="74"/>
      <c r="Q11" s="72"/>
      <c r="R11" s="72"/>
      <c r="S11" s="72"/>
    </row>
    <row r="12" spans="1:19" ht="42.75" x14ac:dyDescent="0.45">
      <c r="A12" s="28" t="str">
        <f>'Données brutes'!$A$50</f>
        <v>LSUN - Livret Scolaire Unique Numérique :
LPC - Livret Personnel de Compétences :</v>
      </c>
      <c r="B12" s="30" t="str">
        <f>'Données brutes'!B50</f>
        <v>Réservé à l'équipe pédagogique et de direction</v>
      </c>
      <c r="C12" s="31">
        <f>IF(B12=0,0,IF(B12=H12,I12,K12))</f>
        <v>1</v>
      </c>
      <c r="D12" s="32">
        <v>3</v>
      </c>
      <c r="E12" s="31">
        <f t="shared" si="0"/>
        <v>3</v>
      </c>
      <c r="F12" s="33">
        <f t="shared" si="1"/>
        <v>15</v>
      </c>
      <c r="H12" s="1" t="s">
        <v>76</v>
      </c>
      <c r="I12" s="1">
        <v>1</v>
      </c>
      <c r="J12" s="73" t="s">
        <v>77</v>
      </c>
      <c r="K12" s="72">
        <v>5</v>
      </c>
      <c r="L12" s="72"/>
      <c r="M12" s="74"/>
      <c r="N12" s="72"/>
      <c r="O12" s="72"/>
      <c r="P12" s="74"/>
      <c r="Q12" s="72"/>
      <c r="R12" s="72"/>
      <c r="S12" s="72"/>
    </row>
    <row r="13" spans="1:19" ht="23.25" x14ac:dyDescent="0.45">
      <c r="A13" s="34" t="str">
        <f>'Données brutes'!$A$51</f>
        <v>Service de réservation de ressources :</v>
      </c>
      <c r="B13" s="36" t="str">
        <f>'Données brutes'!B51</f>
        <v>Non</v>
      </c>
      <c r="C13" s="39">
        <f>IF(B13=0,0,IF(B13=H13,I13,K13))</f>
        <v>0</v>
      </c>
      <c r="D13" s="38">
        <v>1</v>
      </c>
      <c r="E13" s="39">
        <f t="shared" si="0"/>
        <v>0</v>
      </c>
      <c r="F13" s="40">
        <f t="shared" si="1"/>
        <v>5</v>
      </c>
      <c r="H13" s="1" t="s">
        <v>46</v>
      </c>
      <c r="I13" s="1">
        <v>0</v>
      </c>
      <c r="J13" s="73" t="s">
        <v>47</v>
      </c>
      <c r="K13" s="72">
        <v>5</v>
      </c>
      <c r="L13" s="72"/>
      <c r="M13" s="74"/>
      <c r="N13" s="72"/>
      <c r="O13" s="72"/>
      <c r="P13" s="74"/>
      <c r="Q13" s="72"/>
      <c r="R13" s="72"/>
      <c r="S13" s="72"/>
    </row>
    <row r="14" spans="1:19" ht="28.5" x14ac:dyDescent="0.45">
      <c r="A14" s="28" t="str">
        <f>'Données brutes'!$A$52</f>
        <v>Abonnements à des services d'information et de documentation en ligne :</v>
      </c>
      <c r="B14" s="30" t="str">
        <f>'Données brutes'!B52</f>
        <v>Non</v>
      </c>
      <c r="C14" s="31">
        <f>IF(B14=0,0,IF(B14=H14,I14,K14))</f>
        <v>0</v>
      </c>
      <c r="D14" s="32">
        <v>3</v>
      </c>
      <c r="E14" s="31">
        <f t="shared" si="0"/>
        <v>0</v>
      </c>
      <c r="F14" s="33">
        <f t="shared" si="1"/>
        <v>15</v>
      </c>
      <c r="H14" s="1" t="s">
        <v>46</v>
      </c>
      <c r="I14" s="1">
        <v>0</v>
      </c>
      <c r="J14" s="73" t="s">
        <v>47</v>
      </c>
      <c r="K14" s="72">
        <v>5</v>
      </c>
      <c r="L14" s="72"/>
      <c r="M14" s="74"/>
      <c r="N14" s="72"/>
      <c r="O14" s="72"/>
      <c r="P14" s="74"/>
      <c r="Q14" s="72"/>
      <c r="R14" s="72"/>
      <c r="S14" s="72"/>
    </row>
    <row r="15" spans="1:19" ht="23.25" x14ac:dyDescent="0.45">
      <c r="A15" s="34" t="str">
        <f>'Données brutes'!$A$53</f>
        <v>Folios (parcours) ou e-portfolio de type Mahara :</v>
      </c>
      <c r="B15" s="36" t="str">
        <f>'Données brutes'!B53</f>
        <v>Oui</v>
      </c>
      <c r="C15" s="39">
        <f>IF(B15=0,0,IF(B15=H15,I15,K15))</f>
        <v>5</v>
      </c>
      <c r="D15" s="38">
        <v>3</v>
      </c>
      <c r="E15" s="39">
        <f t="shared" si="0"/>
        <v>15</v>
      </c>
      <c r="F15" s="40">
        <f t="shared" si="1"/>
        <v>15</v>
      </c>
      <c r="H15" s="1" t="s">
        <v>46</v>
      </c>
      <c r="I15" s="1">
        <v>0</v>
      </c>
      <c r="J15" s="73" t="s">
        <v>47</v>
      </c>
      <c r="K15" s="72">
        <v>5</v>
      </c>
      <c r="L15" s="72"/>
      <c r="M15" s="74"/>
      <c r="N15" s="72"/>
      <c r="O15" s="72"/>
      <c r="P15" s="74"/>
      <c r="Q15" s="72"/>
      <c r="R15" s="72"/>
      <c r="S15" s="72"/>
    </row>
    <row r="16" spans="1:19" ht="28.5" x14ac:dyDescent="0.45">
      <c r="A16" s="28" t="str">
        <f>'Données brutes'!$A$54</f>
        <v>Abonnements à des ressources numériques pédagogiques éditoriales :</v>
      </c>
      <c r="B16" s="30" t="str">
        <f>'Données brutes'!B54</f>
        <v>Plus de 10</v>
      </c>
      <c r="C16" s="31">
        <f>IF(B16=0,0,IF(B16=H16,I16,IF(B16=J16,K16,IF(B16=M16,N16,Q16))))</f>
        <v>5</v>
      </c>
      <c r="D16" s="32">
        <v>3</v>
      </c>
      <c r="E16" s="31">
        <f t="shared" si="0"/>
        <v>15</v>
      </c>
      <c r="F16" s="33">
        <f t="shared" si="1"/>
        <v>15</v>
      </c>
      <c r="H16" s="1">
        <v>0</v>
      </c>
      <c r="I16" s="1">
        <v>0</v>
      </c>
      <c r="J16" s="73" t="s">
        <v>78</v>
      </c>
      <c r="K16" s="72">
        <v>1</v>
      </c>
      <c r="L16" s="72"/>
      <c r="M16" s="74" t="s">
        <v>79</v>
      </c>
      <c r="N16" s="72">
        <v>3</v>
      </c>
      <c r="O16" s="72"/>
      <c r="P16" s="74" t="s">
        <v>80</v>
      </c>
      <c r="Q16" s="72">
        <v>5</v>
      </c>
      <c r="R16" s="72"/>
      <c r="S16" s="72"/>
    </row>
    <row r="17" spans="1:19" ht="43.15" thickBot="1" x14ac:dyDescent="0.5">
      <c r="A17" s="44" t="str">
        <f>'Données brutes'!$A$55</f>
        <v>Proportion du budget de l'établissement alloué à l'acquisition de ressources numériques en pédagogie ou en formation :</v>
      </c>
      <c r="B17" s="45" t="str">
        <f>'Données brutes'!B55</f>
        <v>50% ou plus du budget</v>
      </c>
      <c r="C17" s="47">
        <f>IF(B17=0,0,IF(B17=H17,I17,IF(B17=J17,K17,IF(B17=M17,N17,Q17))))</f>
        <v>5</v>
      </c>
      <c r="D17" s="46">
        <v>4</v>
      </c>
      <c r="E17" s="47">
        <f t="shared" si="0"/>
        <v>20</v>
      </c>
      <c r="F17" s="48">
        <f t="shared" si="1"/>
        <v>20</v>
      </c>
      <c r="H17" s="1" t="s">
        <v>165</v>
      </c>
      <c r="I17" s="1">
        <v>0</v>
      </c>
      <c r="J17" s="73" t="s">
        <v>217</v>
      </c>
      <c r="K17" s="74">
        <v>2</v>
      </c>
      <c r="L17" s="74"/>
      <c r="M17" s="74" t="s">
        <v>110</v>
      </c>
      <c r="N17" s="74">
        <v>3</v>
      </c>
      <c r="O17" s="74"/>
      <c r="P17" s="74" t="s">
        <v>166</v>
      </c>
      <c r="Q17" s="72">
        <v>5</v>
      </c>
      <c r="R17" s="72"/>
      <c r="S17" s="72"/>
    </row>
    <row r="18" spans="1:19" x14ac:dyDescent="0.45">
      <c r="A18"/>
      <c r="B18"/>
      <c r="C18"/>
      <c r="D18"/>
      <c r="J18" s="73"/>
      <c r="K18" s="72"/>
      <c r="L18" s="72"/>
      <c r="M18" s="74"/>
      <c r="N18" s="72"/>
      <c r="O18" s="72"/>
      <c r="P18" s="74"/>
      <c r="Q18" s="72"/>
      <c r="R18" s="72"/>
      <c r="S18" s="72"/>
    </row>
    <row r="19" spans="1:19" ht="14.65" thickBot="1" x14ac:dyDescent="0.5">
      <c r="A19"/>
      <c r="B19"/>
      <c r="C19"/>
      <c r="D19"/>
      <c r="J19" s="73"/>
      <c r="K19" s="72"/>
      <c r="L19" s="72"/>
      <c r="M19" s="74"/>
      <c r="N19" s="72"/>
      <c r="O19" s="72"/>
      <c r="P19" s="74"/>
      <c r="Q19" s="72"/>
      <c r="R19" s="72"/>
      <c r="S19" s="72"/>
    </row>
    <row r="20" spans="1:19" ht="18.399999999999999" thickBot="1" x14ac:dyDescent="0.5">
      <c r="A20" s="62" t="s">
        <v>81</v>
      </c>
      <c r="B20" s="49">
        <f>SUM(E5:E17)</f>
        <v>76</v>
      </c>
      <c r="C20" s="147" t="str">
        <f>"sur "&amp;SUM(F5:F17)&amp;" possibles"</f>
        <v>sur 154 possibles</v>
      </c>
      <c r="D20" s="147"/>
    </row>
    <row r="21" spans="1:19" ht="18.399999999999999" thickBot="1" x14ac:dyDescent="0.5">
      <c r="A21" s="50"/>
      <c r="B21" s="50"/>
      <c r="C21" s="51"/>
      <c r="D21"/>
    </row>
    <row r="22" spans="1:19" ht="19.5" customHeight="1" thickBot="1" x14ac:dyDescent="0.5">
      <c r="A22" s="16" t="s">
        <v>82</v>
      </c>
      <c r="B22" s="52">
        <f>IF(INT(10*B20/SUM(F5:F17))+1&gt;10,10,INT(10*B20/SUM(F5:F17))+1)</f>
        <v>5</v>
      </c>
      <c r="C22" s="149" t="s">
        <v>51</v>
      </c>
      <c r="D22" s="149"/>
    </row>
  </sheetData>
  <sheetProtection pivotTables="0"/>
  <mergeCells count="8">
    <mergeCell ref="C22:D22"/>
    <mergeCell ref="D1:E1"/>
    <mergeCell ref="D2:E2"/>
    <mergeCell ref="A5:A7"/>
    <mergeCell ref="D5:D7"/>
    <mergeCell ref="E5:E7"/>
    <mergeCell ref="F5:F7"/>
    <mergeCell ref="C20:D20"/>
  </mergeCells>
  <conditionalFormatting sqref="E5">
    <cfRule type="iconSet" priority="2">
      <iconSet>
        <cfvo type="percent" val="0"/>
        <cfvo type="formula" val="0.4*$F$5"/>
        <cfvo type="formula" val="0.8*$F$5"/>
      </iconSet>
    </cfRule>
  </conditionalFormatting>
  <conditionalFormatting sqref="E8">
    <cfRule type="iconSet" priority="3">
      <iconSet>
        <cfvo type="percent" val="0"/>
        <cfvo type="formula" val="0.4*$F$8"/>
        <cfvo type="formula" val="0.8*$F$8"/>
      </iconSet>
    </cfRule>
  </conditionalFormatting>
  <conditionalFormatting sqref="E9">
    <cfRule type="iconSet" priority="4">
      <iconSet>
        <cfvo type="percent" val="0"/>
        <cfvo type="formula" val="0.4*$F$9"/>
        <cfvo type="formula" val="0.8*$F$9"/>
      </iconSet>
    </cfRule>
  </conditionalFormatting>
  <conditionalFormatting sqref="E10">
    <cfRule type="iconSet" priority="5">
      <iconSet>
        <cfvo type="percent" val="0"/>
        <cfvo type="formula" val="0.4*$F$10"/>
        <cfvo type="formula" val="0.8*$F$10"/>
      </iconSet>
    </cfRule>
  </conditionalFormatting>
  <conditionalFormatting sqref="E11">
    <cfRule type="iconSet" priority="6">
      <iconSet>
        <cfvo type="percent" val="0"/>
        <cfvo type="formula" val="0.4*$F$11"/>
        <cfvo type="formula" val="0.8*$F$11"/>
      </iconSet>
    </cfRule>
  </conditionalFormatting>
  <conditionalFormatting sqref="E12">
    <cfRule type="iconSet" priority="7">
      <iconSet>
        <cfvo type="percent" val="0"/>
        <cfvo type="formula" val="0.4*$F$12"/>
        <cfvo type="formula" val="0.8*$F$12"/>
      </iconSet>
    </cfRule>
  </conditionalFormatting>
  <conditionalFormatting sqref="E13">
    <cfRule type="iconSet" priority="8">
      <iconSet>
        <cfvo type="percent" val="0"/>
        <cfvo type="formula" val="0.4*$F$13"/>
        <cfvo type="formula" val="0.8*$F$13"/>
      </iconSet>
    </cfRule>
  </conditionalFormatting>
  <conditionalFormatting sqref="E14">
    <cfRule type="iconSet" priority="9">
      <iconSet>
        <cfvo type="percent" val="0"/>
        <cfvo type="formula" val="0.4*$F$14"/>
        <cfvo type="formula" val="0.8*$F$14"/>
      </iconSet>
    </cfRule>
  </conditionalFormatting>
  <conditionalFormatting sqref="E15">
    <cfRule type="iconSet" priority="10">
      <iconSet>
        <cfvo type="percent" val="0"/>
        <cfvo type="formula" val="0.4*$F$15"/>
        <cfvo type="formula" val="0.8*$F$15"/>
      </iconSet>
    </cfRule>
  </conditionalFormatting>
  <conditionalFormatting sqref="E16">
    <cfRule type="iconSet" priority="11">
      <iconSet>
        <cfvo type="percent" val="0"/>
        <cfvo type="formula" val="0.4*$F$16"/>
        <cfvo type="formula" val="0.8*$F$16"/>
      </iconSet>
    </cfRule>
  </conditionalFormatting>
  <conditionalFormatting sqref="E17">
    <cfRule type="iconSet" priority="12">
      <iconSet>
        <cfvo type="percent" val="0"/>
        <cfvo type="formula" val="0.4*$F$17"/>
        <cfvo type="formula" val="0.8*$F$17"/>
      </iconSet>
    </cfRule>
  </conditionalFormatting>
  <pageMargins left="0.25" right="0.25" top="0.75" bottom="0.75" header="0.51180555555555496" footer="0.51180555555555496"/>
  <pageSetup paperSize="0" scale="0" firstPageNumber="0" orientation="portrait" usePrinterDefaults="0" horizontalDpi="0" verticalDpi="0"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Q27"/>
  <sheetViews>
    <sheetView zoomScaleNormal="100" workbookViewId="0"/>
  </sheetViews>
  <sheetFormatPr baseColWidth="10" defaultColWidth="9.1328125" defaultRowHeight="14.25" x14ac:dyDescent="0.45"/>
  <cols>
    <col min="1" max="1" width="56.86328125" style="1"/>
    <col min="2" max="2" width="24.1328125" style="1"/>
    <col min="3" max="3" width="15.86328125" style="13"/>
    <col min="4" max="4" width="8.1328125" style="13"/>
    <col min="5" max="5" width="17" style="13"/>
    <col min="6" max="6" width="10.59765625" style="13"/>
    <col min="7" max="7" width="9" customWidth="1"/>
    <col min="8" max="8" width="6" hidden="1" customWidth="1"/>
    <col min="9" max="9" width="2.1328125" hidden="1" customWidth="1"/>
    <col min="10" max="10" width="24" hidden="1" customWidth="1"/>
    <col min="11" max="11" width="2.1328125" hidden="1" customWidth="1"/>
    <col min="12" max="12" width="22.86328125" hidden="1" customWidth="1"/>
    <col min="13" max="13" width="2.1328125" hidden="1" customWidth="1"/>
    <col min="14" max="14" width="15.3984375" hidden="1" customWidth="1"/>
    <col min="15" max="15" width="2.1328125" hidden="1" customWidth="1"/>
    <col min="16" max="16" width="9" customWidth="1"/>
    <col min="17" max="25" width="11.1328125"/>
    <col min="26" max="1024" width="10.3984375"/>
  </cols>
  <sheetData>
    <row r="1" spans="1:17" ht="25.9" thickBot="1" x14ac:dyDescent="0.5">
      <c r="A1" s="2" t="s">
        <v>158</v>
      </c>
      <c r="B1"/>
      <c r="C1" s="15" t="s">
        <v>34</v>
      </c>
      <c r="D1" s="150" t="str">
        <f>B25&amp;" "&amp;C25</f>
        <v>121 sur 221 possibles</v>
      </c>
      <c r="E1" s="150"/>
      <c r="F1"/>
    </row>
    <row r="2" spans="1:17" ht="18.399999999999999" thickBot="1" x14ac:dyDescent="0.5">
      <c r="A2"/>
      <c r="B2"/>
      <c r="C2" s="16" t="s">
        <v>35</v>
      </c>
      <c r="D2" s="149" t="str">
        <f>B27&amp;" "&amp;C27</f>
        <v>6 sur 10</v>
      </c>
      <c r="E2" s="149"/>
      <c r="F2"/>
    </row>
    <row r="3" spans="1:17" ht="14.65" thickBot="1" x14ac:dyDescent="0.5">
      <c r="A3"/>
      <c r="B3"/>
      <c r="C3"/>
      <c r="D3"/>
      <c r="E3"/>
      <c r="F3"/>
    </row>
    <row r="4" spans="1:17" ht="47.65" thickBot="1" x14ac:dyDescent="0.5">
      <c r="A4" s="76" t="s">
        <v>36</v>
      </c>
      <c r="B4" s="77" t="s">
        <v>200</v>
      </c>
      <c r="C4" s="77" t="s">
        <v>199</v>
      </c>
      <c r="D4" s="78" t="s">
        <v>38</v>
      </c>
      <c r="E4" s="77" t="s">
        <v>39</v>
      </c>
      <c r="F4" s="79" t="s">
        <v>40</v>
      </c>
    </row>
    <row r="5" spans="1:17" ht="28.5" x14ac:dyDescent="0.45">
      <c r="A5" s="80" t="str">
        <f>'Données brutes'!$A$58</f>
        <v>Feuille de route de la transition numérique formalisée et mise en œuvre ex. classeur NumEA-Etablissement :</v>
      </c>
      <c r="B5" s="64" t="str">
        <f>'Données brutes'!B58</f>
        <v>Non</v>
      </c>
      <c r="C5" s="67">
        <f>IF(B5=0,0,IF(B5=H5,I5,K5))</f>
        <v>0</v>
      </c>
      <c r="D5" s="66">
        <v>2</v>
      </c>
      <c r="E5" s="67">
        <f t="shared" ref="E5:E14" si="0">C5*D5</f>
        <v>0</v>
      </c>
      <c r="F5" s="68">
        <f t="shared" ref="F5:F14" si="1">5*D5</f>
        <v>10</v>
      </c>
      <c r="H5" s="81" t="s">
        <v>46</v>
      </c>
      <c r="I5" s="81">
        <v>0</v>
      </c>
      <c r="J5" s="81" t="s">
        <v>47</v>
      </c>
      <c r="K5" s="81">
        <v>5</v>
      </c>
      <c r="L5" s="81"/>
      <c r="M5" s="81"/>
      <c r="N5" s="81"/>
      <c r="O5" s="81"/>
      <c r="P5" s="81"/>
      <c r="Q5" s="81"/>
    </row>
    <row r="6" spans="1:17" ht="28.5" x14ac:dyDescent="0.45">
      <c r="A6" s="28" t="str">
        <f>'Données brutes'!$A$59</f>
        <v>Charte d'usage du système d'information actualisée régulièrement en fonction de l’évolution des services et de la législation :</v>
      </c>
      <c r="B6" s="30" t="str">
        <f>'Données brutes'!B59</f>
        <v>Oui, signée par une partie des usagers</v>
      </c>
      <c r="C6" s="31">
        <f>IF(B6=0,0,IF(B6=H6,I6,IF(B6=J6,K6,M6)))</f>
        <v>2</v>
      </c>
      <c r="D6" s="32">
        <v>4</v>
      </c>
      <c r="E6" s="31">
        <f t="shared" si="0"/>
        <v>8</v>
      </c>
      <c r="F6" s="33">
        <f t="shared" si="1"/>
        <v>20</v>
      </c>
      <c r="H6" s="81" t="s">
        <v>46</v>
      </c>
      <c r="I6" s="81">
        <v>0</v>
      </c>
      <c r="J6" s="81" t="s">
        <v>83</v>
      </c>
      <c r="K6" s="81">
        <v>2</v>
      </c>
      <c r="L6" s="81" t="s">
        <v>84</v>
      </c>
      <c r="M6" s="81">
        <v>5</v>
      </c>
      <c r="N6" s="81"/>
      <c r="O6" s="81"/>
      <c r="P6" s="81"/>
      <c r="Q6" s="81"/>
    </row>
    <row r="7" spans="1:17" ht="28.5" x14ac:dyDescent="0.45">
      <c r="A7" s="34" t="str">
        <f>'Données brutes'!$A$60</f>
        <v>Commission numérique, commission TIM et commission CDI et/ou toute autre instance traitant des sujets numériques :</v>
      </c>
      <c r="B7" s="36" t="str">
        <f>'Données brutes'!B60</f>
        <v>Plusieurs réunions par année scolaire</v>
      </c>
      <c r="C7" s="39">
        <f>IF(B7=0,0,IF(B7=H7,I7,IF(B7=J7,K7,M7)))</f>
        <v>5</v>
      </c>
      <c r="D7" s="38">
        <v>4</v>
      </c>
      <c r="E7" s="39">
        <f t="shared" si="0"/>
        <v>20</v>
      </c>
      <c r="F7" s="40">
        <f t="shared" si="1"/>
        <v>20</v>
      </c>
      <c r="H7" s="81" t="s">
        <v>46</v>
      </c>
      <c r="I7" s="81">
        <v>0</v>
      </c>
      <c r="J7" s="81" t="s">
        <v>85</v>
      </c>
      <c r="K7" s="81">
        <v>3</v>
      </c>
      <c r="L7" s="81" t="s">
        <v>223</v>
      </c>
      <c r="M7" s="81">
        <v>5</v>
      </c>
      <c r="N7" s="81"/>
      <c r="O7" s="81"/>
      <c r="P7" s="81"/>
      <c r="Q7" s="81"/>
    </row>
    <row r="8" spans="1:17" ht="42.75" x14ac:dyDescent="0.45">
      <c r="A8" s="28" t="str">
        <f>'Données brutes'!$A$61</f>
        <v>Personnel(s) référent(s) pour les usages pédagogiques et éducatifs du numérique :</v>
      </c>
      <c r="B8" s="30" t="str">
        <f>'Données brutes'!B61</f>
        <v>Oui, il y a une équipe de référents en charge de ce sujet</v>
      </c>
      <c r="C8" s="31">
        <f>IF(B8=0,0,IF(B8=H8,I8,IF(B8=J8,K8,M8)))</f>
        <v>5</v>
      </c>
      <c r="D8" s="32">
        <v>3</v>
      </c>
      <c r="E8" s="31">
        <f t="shared" si="0"/>
        <v>15</v>
      </c>
      <c r="F8" s="33">
        <f t="shared" si="1"/>
        <v>15</v>
      </c>
      <c r="H8" s="81" t="s">
        <v>46</v>
      </c>
      <c r="I8" s="81">
        <v>0</v>
      </c>
      <c r="J8" s="81" t="s">
        <v>226</v>
      </c>
      <c r="K8" s="81">
        <v>3</v>
      </c>
      <c r="L8" s="81" t="s">
        <v>227</v>
      </c>
      <c r="M8" s="81">
        <v>5</v>
      </c>
      <c r="N8" s="81"/>
      <c r="O8" s="81"/>
      <c r="P8" s="81"/>
      <c r="Q8" s="81"/>
    </row>
    <row r="9" spans="1:17" ht="28.5" x14ac:dyDescent="0.45">
      <c r="A9" s="34" t="str">
        <f>'Données brutes'!$A$62</f>
        <v>Utilisation d'indemnités (activités TIM, décharge horaire) pour favoriser les usages numériques :</v>
      </c>
      <c r="B9" s="36" t="str">
        <f>'Données brutes'!B62</f>
        <v>Non</v>
      </c>
      <c r="C9" s="39">
        <f>IF(B9=0,0,IF(B9=H9,I9,K9))</f>
        <v>0</v>
      </c>
      <c r="D9" s="38">
        <v>2</v>
      </c>
      <c r="E9" s="39">
        <f t="shared" si="0"/>
        <v>0</v>
      </c>
      <c r="F9" s="40">
        <f t="shared" si="1"/>
        <v>10</v>
      </c>
      <c r="H9" s="81" t="s">
        <v>46</v>
      </c>
      <c r="I9" s="81">
        <v>0</v>
      </c>
      <c r="J9" s="81" t="s">
        <v>47</v>
      </c>
      <c r="K9" s="81">
        <v>5</v>
      </c>
      <c r="L9" s="81"/>
      <c r="M9" s="81"/>
      <c r="N9" s="81"/>
      <c r="O9" s="81"/>
      <c r="P9" s="81"/>
      <c r="Q9" s="81"/>
    </row>
    <row r="10" spans="1:17" ht="28.5" x14ac:dyDescent="0.45">
      <c r="A10" s="28" t="str">
        <f>'Données brutes'!$A$63</f>
        <v>Démarche "zéro papier inutile" et "zéro mail inutile" :</v>
      </c>
      <c r="B10" s="30" t="str">
        <f>'Données brutes'!B63</f>
        <v>En projet</v>
      </c>
      <c r="C10" s="110">
        <f>IF(B10=0,0,IF(B10=H10,I10,IF(B10=J10,K10,IF(B10=L10,M10,O10))))</f>
        <v>1</v>
      </c>
      <c r="D10" s="32">
        <v>2</v>
      </c>
      <c r="E10" s="31">
        <f t="shared" si="0"/>
        <v>2</v>
      </c>
      <c r="F10" s="33">
        <f t="shared" si="1"/>
        <v>10</v>
      </c>
      <c r="H10" s="81" t="s">
        <v>46</v>
      </c>
      <c r="I10" s="81">
        <v>0</v>
      </c>
      <c r="J10" s="81" t="s">
        <v>86</v>
      </c>
      <c r="K10" s="81">
        <v>1</v>
      </c>
      <c r="L10" s="81" t="s">
        <v>87</v>
      </c>
      <c r="M10" s="81">
        <v>3</v>
      </c>
      <c r="N10" s="81" t="s">
        <v>88</v>
      </c>
      <c r="O10" s="81">
        <v>5</v>
      </c>
      <c r="P10" s="81"/>
      <c r="Q10" s="81"/>
    </row>
    <row r="11" spans="1:17" ht="28.5" x14ac:dyDescent="0.45">
      <c r="A11" s="34" t="str">
        <f>'Données brutes'!$A$64</f>
        <v>Usage du numérique par l'équipe de direction et l'équipe administrative respectant la charte des temps :</v>
      </c>
      <c r="B11" s="36" t="str">
        <f>'Données brutes'!B64</f>
        <v>Oui</v>
      </c>
      <c r="C11" s="39">
        <f>IF(B11=0,0,IF(B11=H11,I11,K11))</f>
        <v>5</v>
      </c>
      <c r="D11" s="38">
        <v>2</v>
      </c>
      <c r="E11" s="39">
        <f t="shared" si="0"/>
        <v>10</v>
      </c>
      <c r="F11" s="40">
        <f t="shared" si="1"/>
        <v>10</v>
      </c>
      <c r="H11" s="81" t="s">
        <v>46</v>
      </c>
      <c r="I11" s="81">
        <v>0</v>
      </c>
      <c r="J11" s="81" t="s">
        <v>47</v>
      </c>
      <c r="K11" s="81">
        <v>5</v>
      </c>
      <c r="L11" s="81"/>
      <c r="M11" s="81"/>
      <c r="N11" s="81"/>
      <c r="O11" s="81"/>
      <c r="P11" s="81"/>
      <c r="Q11" s="81"/>
    </row>
    <row r="12" spans="1:17" ht="28.5" x14ac:dyDescent="0.45">
      <c r="A12" s="28" t="str">
        <f>'Données brutes'!$A$65</f>
        <v>Équipements numériques personnels des professeurs acceptés sur le réseau filaire ou wifi de l'établissement :</v>
      </c>
      <c r="B12" s="30" t="str">
        <f>'Données brutes'!B65</f>
        <v>Non</v>
      </c>
      <c r="C12" s="31">
        <f>IF(B12=0,0,IF(B12=H12,I12,K12))</f>
        <v>0</v>
      </c>
      <c r="D12" s="32">
        <v>4</v>
      </c>
      <c r="E12" s="31">
        <f t="shared" si="0"/>
        <v>0</v>
      </c>
      <c r="F12" s="33">
        <f t="shared" si="1"/>
        <v>20</v>
      </c>
      <c r="H12" s="81" t="s">
        <v>46</v>
      </c>
      <c r="I12" s="81">
        <v>0</v>
      </c>
      <c r="J12" s="81" t="s">
        <v>47</v>
      </c>
      <c r="K12" s="81">
        <v>5</v>
      </c>
      <c r="L12" s="81"/>
      <c r="M12" s="81"/>
      <c r="N12" s="81"/>
      <c r="O12" s="81"/>
      <c r="P12" s="81"/>
      <c r="Q12" s="81"/>
    </row>
    <row r="13" spans="1:17" ht="42.75" x14ac:dyDescent="0.45">
      <c r="A13" s="34" t="str">
        <f>'Données brutes'!$A$66</f>
        <v>Équipements numériques personnels des élèves (pour des usages pédagogiques) acceptés sur le réseau filaire ou wifi de l'établissement :</v>
      </c>
      <c r="B13" s="36" t="str">
        <f>'Données brutes'!B66</f>
        <v>Ordinateurs portables et tablettes</v>
      </c>
      <c r="C13" s="82">
        <f>IF(B13=0,0,IF(B13=H13,I13,IF(B13=J13,K13,M13)))</f>
        <v>4</v>
      </c>
      <c r="D13" s="38">
        <v>1</v>
      </c>
      <c r="E13" s="39">
        <f t="shared" si="0"/>
        <v>4</v>
      </c>
      <c r="F13" s="40">
        <f t="shared" si="1"/>
        <v>5</v>
      </c>
      <c r="H13" s="81" t="s">
        <v>46</v>
      </c>
      <c r="I13" s="81">
        <v>0</v>
      </c>
      <c r="J13" s="81" t="s">
        <v>138</v>
      </c>
      <c r="K13" s="81">
        <v>4</v>
      </c>
      <c r="L13" s="81" t="s">
        <v>89</v>
      </c>
      <c r="M13" s="81">
        <v>5</v>
      </c>
      <c r="N13" s="81"/>
      <c r="O13" s="81"/>
      <c r="P13" s="81"/>
      <c r="Q13" s="81"/>
    </row>
    <row r="14" spans="1:17" ht="28.5" x14ac:dyDescent="0.45">
      <c r="A14" s="28" t="str">
        <f>'Données brutes'!$A$67</f>
        <v>Politique de sécurité des systèmes d’information PSSI définie et mise en œuvre :</v>
      </c>
      <c r="B14" s="30" t="str">
        <f>'Données brutes'!B67</f>
        <v>Oui</v>
      </c>
      <c r="C14" s="31">
        <f>IF(B14=0,0,IF(B14=H14,I14,K14))</f>
        <v>5</v>
      </c>
      <c r="D14" s="32">
        <v>4</v>
      </c>
      <c r="E14" s="31">
        <f t="shared" si="0"/>
        <v>20</v>
      </c>
      <c r="F14" s="33">
        <f t="shared" si="1"/>
        <v>20</v>
      </c>
      <c r="H14" s="81" t="s">
        <v>46</v>
      </c>
      <c r="I14" s="81">
        <v>0</v>
      </c>
      <c r="J14" s="81" t="s">
        <v>47</v>
      </c>
      <c r="K14" s="81">
        <v>5</v>
      </c>
      <c r="L14" s="81"/>
      <c r="M14" s="81"/>
      <c r="N14" s="81"/>
      <c r="O14" s="81"/>
      <c r="P14" s="81"/>
      <c r="Q14" s="81"/>
    </row>
    <row r="15" spans="1:17" ht="23.25" x14ac:dyDescent="0.45">
      <c r="A15" s="165" t="str">
        <f>'Données brutes'!$A$68</f>
        <v>Actions d’information et d’accompagnement à la transition numérique adaptées aux besoins des usagers :</v>
      </c>
      <c r="B15" s="36" t="str">
        <f>IF('Données brutes'!C68="Oui",'Données brutes'!B68,"-")</f>
        <v>Avec les moyens de l'établissement (professeur TIM, professeur-documentaliste, personnel référent, etc.)</v>
      </c>
      <c r="C15" s="39">
        <f>IF('Données brutes'!C68="",0,IF(B15=H15,I15,K15))</f>
        <v>3</v>
      </c>
      <c r="D15" s="153">
        <v>2</v>
      </c>
      <c r="E15" s="144">
        <f>SUM(C15:C17)*D15</f>
        <v>6</v>
      </c>
      <c r="F15" s="163">
        <f>SUM(K15:K17)*D15</f>
        <v>18</v>
      </c>
      <c r="H15" s="81" t="s">
        <v>61</v>
      </c>
      <c r="I15" s="81">
        <v>0</v>
      </c>
      <c r="J15" s="81" t="s">
        <v>47</v>
      </c>
      <c r="K15" s="81">
        <v>3</v>
      </c>
      <c r="L15" s="81"/>
      <c r="M15" s="81"/>
      <c r="N15" s="81"/>
      <c r="O15" s="81"/>
      <c r="P15" s="81"/>
      <c r="Q15" s="81"/>
    </row>
    <row r="16" spans="1:17" ht="23.25" x14ac:dyDescent="0.45">
      <c r="A16" s="165"/>
      <c r="B16" s="36" t="str">
        <f>IF('Données brutes'!C69="Oui",'Données brutes'!B69,"-")</f>
        <v>-</v>
      </c>
      <c r="C16" s="31">
        <f>IF('Données brutes'!C69="",0,IF(B16=H16,I16,K16))</f>
        <v>0</v>
      </c>
      <c r="D16" s="153"/>
      <c r="E16" s="144"/>
      <c r="F16" s="163"/>
      <c r="H16" s="81" t="s">
        <v>61</v>
      </c>
      <c r="I16" s="81">
        <v>0</v>
      </c>
      <c r="J16" s="81" t="s">
        <v>47</v>
      </c>
      <c r="K16" s="81">
        <v>3</v>
      </c>
      <c r="L16" s="81"/>
      <c r="M16" s="81"/>
      <c r="N16" s="81"/>
      <c r="O16" s="81"/>
      <c r="P16" s="81"/>
      <c r="Q16" s="81"/>
    </row>
    <row r="17" spans="1:17" ht="23.25" x14ac:dyDescent="0.45">
      <c r="A17" s="165"/>
      <c r="B17" s="36" t="str">
        <f>IF('Données brutes'!C70="Oui",'Données brutes'!B70,"-")</f>
        <v>-</v>
      </c>
      <c r="C17" s="39">
        <f>IF('Données brutes'!C70="",0,IF(B17=H17,I17,K17))</f>
        <v>0</v>
      </c>
      <c r="D17" s="153"/>
      <c r="E17" s="144"/>
      <c r="F17" s="163"/>
      <c r="H17" s="81" t="s">
        <v>61</v>
      </c>
      <c r="I17" s="81">
        <v>0</v>
      </c>
      <c r="J17" s="81" t="s">
        <v>47</v>
      </c>
      <c r="K17" s="81">
        <v>3</v>
      </c>
      <c r="L17" s="81"/>
      <c r="M17" s="81"/>
      <c r="N17" s="81"/>
      <c r="O17" s="81"/>
      <c r="P17" s="81"/>
      <c r="Q17" s="81"/>
    </row>
    <row r="18" spans="1:17" ht="23.25" x14ac:dyDescent="0.45">
      <c r="A18" s="157" t="str">
        <f>'Données brutes'!$A$71</f>
        <v>Assistance aux usagers adaptée à leurs besoins :</v>
      </c>
      <c r="B18" s="36" t="str">
        <f>IF('Données brutes'!C71="Oui",'Données brutes'!B71,"-")</f>
        <v>Avec les moyens de l'établissement (professeur TIM, professeur-documentaliste, personnel référent, etc.)</v>
      </c>
      <c r="C18" s="31">
        <f>IF('Données brutes'!C71=0,0,IF(B18=H18,I18,K18))</f>
        <v>5</v>
      </c>
      <c r="D18" s="158">
        <v>2</v>
      </c>
      <c r="E18" s="154">
        <f>SUM(C18:C20)*D18</f>
        <v>10</v>
      </c>
      <c r="F18" s="164">
        <f>SUM(K18:K20)*D18</f>
        <v>18</v>
      </c>
      <c r="H18" s="81" t="s">
        <v>61</v>
      </c>
      <c r="I18" s="81">
        <v>0</v>
      </c>
      <c r="J18" s="81" t="s">
        <v>47</v>
      </c>
      <c r="K18" s="81">
        <v>5</v>
      </c>
      <c r="L18" s="81"/>
      <c r="M18" s="81"/>
      <c r="N18" s="81"/>
      <c r="O18" s="81"/>
      <c r="P18" s="81"/>
      <c r="Q18" s="81"/>
    </row>
    <row r="19" spans="1:17" ht="23.25" x14ac:dyDescent="0.45">
      <c r="A19" s="157"/>
      <c r="B19" s="36" t="str">
        <f>IF('Données brutes'!C72="Oui",'Données brutes'!B72,"-")</f>
        <v>-</v>
      </c>
      <c r="C19" s="39">
        <f>IF('Données brutes'!C72="",0,IF(B19=H19,I19,K19))</f>
        <v>0</v>
      </c>
      <c r="D19" s="158"/>
      <c r="E19" s="154"/>
      <c r="F19" s="164"/>
      <c r="H19" s="81" t="s">
        <v>61</v>
      </c>
      <c r="I19" s="81">
        <v>0</v>
      </c>
      <c r="J19" s="81" t="s">
        <v>47</v>
      </c>
      <c r="K19" s="81">
        <v>2</v>
      </c>
      <c r="L19" s="81"/>
      <c r="M19" s="81"/>
      <c r="N19" s="81"/>
      <c r="O19" s="81"/>
      <c r="P19" s="81"/>
      <c r="Q19" s="81"/>
    </row>
    <row r="20" spans="1:17" ht="23.25" x14ac:dyDescent="0.45">
      <c r="A20" s="157"/>
      <c r="B20" s="36" t="str">
        <f>IF('Données brutes'!C73="Oui",'Données brutes'!B73,"-")</f>
        <v>-</v>
      </c>
      <c r="C20" s="31">
        <f>IF('Données brutes'!C73="",0,IF(B20=H20,I20,K20))</f>
        <v>0</v>
      </c>
      <c r="D20" s="158"/>
      <c r="E20" s="154"/>
      <c r="F20" s="164"/>
      <c r="H20" s="81" t="s">
        <v>61</v>
      </c>
      <c r="I20" s="81">
        <v>0</v>
      </c>
      <c r="J20" s="81" t="s">
        <v>47</v>
      </c>
      <c r="K20" s="81">
        <v>2</v>
      </c>
      <c r="L20" s="81"/>
      <c r="M20" s="81"/>
      <c r="N20" s="81"/>
      <c r="O20" s="81"/>
      <c r="P20" s="81"/>
      <c r="Q20" s="81"/>
    </row>
    <row r="21" spans="1:17" ht="28.5" x14ac:dyDescent="0.45">
      <c r="A21" s="34" t="str">
        <f>'Données brutes'!$A$74</f>
        <v>Suivi statistique des taux d'utilisation des équipements et des services :</v>
      </c>
      <c r="B21" s="36" t="str">
        <f>'Données brutes'!B74</f>
        <v>Oui, suivi global</v>
      </c>
      <c r="C21" s="39">
        <f>IF(B21=0,0,IF(B21=H21,I21,IF(B21=J21,K21,M21)))</f>
        <v>3</v>
      </c>
      <c r="D21" s="38">
        <v>2</v>
      </c>
      <c r="E21" s="39">
        <f>C21*D21</f>
        <v>6</v>
      </c>
      <c r="F21" s="40">
        <f>5*D21</f>
        <v>10</v>
      </c>
      <c r="H21" s="81" t="s">
        <v>46</v>
      </c>
      <c r="I21" s="81">
        <v>0</v>
      </c>
      <c r="J21" s="81" t="s">
        <v>90</v>
      </c>
      <c r="K21" s="81">
        <v>3</v>
      </c>
      <c r="L21" s="81" t="s">
        <v>91</v>
      </c>
      <c r="M21" s="81">
        <v>5</v>
      </c>
      <c r="N21" s="81"/>
      <c r="O21" s="81"/>
      <c r="P21" s="81"/>
      <c r="Q21" s="81"/>
    </row>
    <row r="22" spans="1:17" ht="23.25" x14ac:dyDescent="0.45">
      <c r="A22" s="28" t="str">
        <f>'Données brutes'!$A$75</f>
        <v>Mise en place et suivi des "Services en Ligne" :</v>
      </c>
      <c r="B22" s="30" t="str">
        <f>'Données brutes'!B75</f>
        <v>Oui</v>
      </c>
      <c r="C22" s="31">
        <f>IF(B22=0,0,IF(B22=H22,I22,K22))</f>
        <v>5</v>
      </c>
      <c r="D22" s="32">
        <v>4</v>
      </c>
      <c r="E22" s="31">
        <f>C22*D22</f>
        <v>20</v>
      </c>
      <c r="F22" s="33">
        <f>5*D22</f>
        <v>20</v>
      </c>
      <c r="H22" s="81" t="s">
        <v>46</v>
      </c>
      <c r="I22" s="81">
        <v>0</v>
      </c>
      <c r="J22" s="81" t="s">
        <v>47</v>
      </c>
      <c r="K22" s="81">
        <v>5</v>
      </c>
      <c r="L22" s="81"/>
      <c r="M22" s="81"/>
      <c r="N22" s="81"/>
      <c r="O22" s="81"/>
      <c r="P22" s="81"/>
      <c r="Q22" s="81"/>
    </row>
    <row r="23" spans="1:17" ht="28.9" thickBot="1" x14ac:dyDescent="0.5">
      <c r="A23" s="44" t="str">
        <f>'Données brutes'!$A$76</f>
        <v>Échanges entre la direction et les inspecteurs sur les enjeux de la transition numérique :</v>
      </c>
      <c r="B23" s="45" t="str">
        <f>'Données brutes'!B76</f>
        <v>Rares</v>
      </c>
      <c r="C23" s="47">
        <f>IF(B23=0,0,IF(B23=N23,O23,IF(B23=H23,I23,IF(B23=J23,K23,M23))))</f>
        <v>0</v>
      </c>
      <c r="D23" s="46">
        <v>3</v>
      </c>
      <c r="E23" s="47">
        <f>C23*D23</f>
        <v>0</v>
      </c>
      <c r="F23" s="48">
        <f>5*D23</f>
        <v>15</v>
      </c>
      <c r="H23" s="81" t="s">
        <v>92</v>
      </c>
      <c r="I23" s="81">
        <v>0</v>
      </c>
      <c r="J23" s="81" t="s">
        <v>93</v>
      </c>
      <c r="K23" s="81">
        <v>3</v>
      </c>
      <c r="L23" s="81" t="s">
        <v>94</v>
      </c>
      <c r="M23" s="81">
        <v>5</v>
      </c>
      <c r="N23" s="81" t="s">
        <v>62</v>
      </c>
      <c r="O23" s="81">
        <v>0</v>
      </c>
      <c r="P23" s="81"/>
      <c r="Q23" s="81"/>
    </row>
    <row r="24" spans="1:17" ht="14.65" thickBot="1" x14ac:dyDescent="0.5">
      <c r="A24"/>
      <c r="B24"/>
      <c r="C24"/>
      <c r="D24"/>
    </row>
    <row r="25" spans="1:17" ht="31.9" thickBot="1" x14ac:dyDescent="0.5">
      <c r="A25" s="62" t="s">
        <v>235</v>
      </c>
      <c r="B25" s="49">
        <f>SUM(E5:E23)</f>
        <v>121</v>
      </c>
      <c r="C25" s="147" t="str">
        <f>"sur "&amp;SUM(F5:F23)&amp;" possibles"</f>
        <v>sur 221 possibles</v>
      </c>
      <c r="D25" s="147"/>
    </row>
    <row r="26" spans="1:17" ht="18.399999999999999" thickBot="1" x14ac:dyDescent="0.5">
      <c r="A26" s="50"/>
      <c r="B26" s="50"/>
      <c r="C26" s="51"/>
      <c r="D26"/>
    </row>
    <row r="27" spans="1:17" ht="19.5" customHeight="1" thickBot="1" x14ac:dyDescent="0.5">
      <c r="A27" s="16" t="s">
        <v>236</v>
      </c>
      <c r="B27" s="52">
        <f>IF(INT(10*B25/SUM(F5:F23))+1&gt;10,10,INT(10*B25/SUM(F5:F23))+1)</f>
        <v>6</v>
      </c>
      <c r="C27" s="149" t="s">
        <v>51</v>
      </c>
      <c r="D27" s="149"/>
    </row>
  </sheetData>
  <sheetProtection pivotTables="0"/>
  <mergeCells count="12">
    <mergeCell ref="D1:E1"/>
    <mergeCell ref="D2:E2"/>
    <mergeCell ref="A15:A17"/>
    <mergeCell ref="D15:D17"/>
    <mergeCell ref="E15:E17"/>
    <mergeCell ref="C25:D25"/>
    <mergeCell ref="C27:D27"/>
    <mergeCell ref="F15:F17"/>
    <mergeCell ref="A18:A20"/>
    <mergeCell ref="D18:D20"/>
    <mergeCell ref="E18:E20"/>
    <mergeCell ref="F18:F20"/>
  </mergeCells>
  <conditionalFormatting sqref="E5">
    <cfRule type="iconSet" priority="2">
      <iconSet>
        <cfvo type="percent" val="0"/>
        <cfvo type="formula" val="0.4*$F$5"/>
        <cfvo type="formula" val="0.8*$F$5"/>
      </iconSet>
    </cfRule>
  </conditionalFormatting>
  <conditionalFormatting sqref="E6">
    <cfRule type="iconSet" priority="3">
      <iconSet>
        <cfvo type="percent" val="0"/>
        <cfvo type="formula" val="0.4*$F$6"/>
        <cfvo type="formula" val="0.8*$F$6"/>
      </iconSet>
    </cfRule>
  </conditionalFormatting>
  <conditionalFormatting sqref="E7">
    <cfRule type="iconSet" priority="4">
      <iconSet>
        <cfvo type="percent" val="0"/>
        <cfvo type="formula" val="0.4*$F$7"/>
        <cfvo type="formula" val="0.8*$F$7"/>
      </iconSet>
    </cfRule>
  </conditionalFormatting>
  <conditionalFormatting sqref="E8">
    <cfRule type="iconSet" priority="5">
      <iconSet>
        <cfvo type="percent" val="0"/>
        <cfvo type="formula" val="0.4*$F$8"/>
        <cfvo type="formula" val="0.8*$F$8"/>
      </iconSet>
    </cfRule>
  </conditionalFormatting>
  <conditionalFormatting sqref="E9">
    <cfRule type="iconSet" priority="6">
      <iconSet>
        <cfvo type="percent" val="0"/>
        <cfvo type="formula" val="0.4*$F$9"/>
        <cfvo type="formula" val="0.8*$F$9"/>
      </iconSet>
    </cfRule>
  </conditionalFormatting>
  <conditionalFormatting sqref="E10">
    <cfRule type="iconSet" priority="7">
      <iconSet>
        <cfvo type="percent" val="0"/>
        <cfvo type="formula" val="0.4*$F$10"/>
        <cfvo type="formula" val="0.8*$F$10"/>
      </iconSet>
    </cfRule>
  </conditionalFormatting>
  <conditionalFormatting sqref="E11">
    <cfRule type="iconSet" priority="8">
      <iconSet>
        <cfvo type="percent" val="0"/>
        <cfvo type="formula" val="0.4*$F$11"/>
        <cfvo type="formula" val="0.8*$F$11"/>
      </iconSet>
    </cfRule>
  </conditionalFormatting>
  <conditionalFormatting sqref="E12">
    <cfRule type="iconSet" priority="9">
      <iconSet>
        <cfvo type="percent" val="0"/>
        <cfvo type="formula" val="0.4*$F$12"/>
        <cfvo type="formula" val="0.8*$F$12"/>
      </iconSet>
    </cfRule>
  </conditionalFormatting>
  <conditionalFormatting sqref="E13">
    <cfRule type="iconSet" priority="10">
      <iconSet>
        <cfvo type="percent" val="0"/>
        <cfvo type="formula" val="0.4*$F$13"/>
        <cfvo type="formula" val="0.8*$F$13"/>
      </iconSet>
    </cfRule>
  </conditionalFormatting>
  <conditionalFormatting sqref="E14">
    <cfRule type="iconSet" priority="11">
      <iconSet>
        <cfvo type="percent" val="0"/>
        <cfvo type="formula" val="0.4*$F$14"/>
        <cfvo type="formula" val="0.8*$F$14"/>
      </iconSet>
    </cfRule>
  </conditionalFormatting>
  <conditionalFormatting sqref="E15">
    <cfRule type="iconSet" priority="12">
      <iconSet>
        <cfvo type="percent" val="0"/>
        <cfvo type="formula" val="0.4*$F$15"/>
        <cfvo type="formula" val="0.8*$F$15"/>
      </iconSet>
    </cfRule>
  </conditionalFormatting>
  <conditionalFormatting sqref="E18">
    <cfRule type="iconSet" priority="13">
      <iconSet>
        <cfvo type="percent" val="0"/>
        <cfvo type="formula" val="0.4*$F$18"/>
        <cfvo type="formula" val="0.8*$F$18"/>
      </iconSet>
    </cfRule>
  </conditionalFormatting>
  <conditionalFormatting sqref="E21">
    <cfRule type="iconSet" priority="14">
      <iconSet>
        <cfvo type="percent" val="0"/>
        <cfvo type="formula" val="0.4*$F$21"/>
        <cfvo type="formula" val="0.8*$F$21"/>
      </iconSet>
    </cfRule>
  </conditionalFormatting>
  <conditionalFormatting sqref="E22">
    <cfRule type="iconSet" priority="15">
      <iconSet>
        <cfvo type="percent" val="0"/>
        <cfvo type="formula" val="0.4*$F$22"/>
        <cfvo type="formula" val="0.8*$F$22"/>
      </iconSet>
    </cfRule>
  </conditionalFormatting>
  <conditionalFormatting sqref="E23">
    <cfRule type="iconSet" priority="16">
      <iconSet>
        <cfvo type="percent" val="0"/>
        <cfvo type="formula" val="0.4*$F$23"/>
        <cfvo type="formula" val="0.8*$F$23"/>
      </iconSet>
    </cfRule>
  </conditionalFormatting>
  <pageMargins left="0.23611111111111099" right="0.23611111111111099" top="0.23611111111111099" bottom="0.23611111111111099" header="0.51180555555555496" footer="0.51180555555555496"/>
  <pageSetup paperSize="0" scale="0" firstPageNumber="0" orientation="portrait" usePrinterDefaults="0" horizontalDpi="0" verticalDpi="0" copies="0"/>
  <ignoredErrors>
    <ignoredError sqref="C10 C13" formula="1"/>
    <ignoredError sqref="F15 F18"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Q20"/>
  <sheetViews>
    <sheetView zoomScaleNormal="100" workbookViewId="0"/>
  </sheetViews>
  <sheetFormatPr baseColWidth="10" defaultColWidth="9.1328125" defaultRowHeight="14.25" x14ac:dyDescent="0.45"/>
  <cols>
    <col min="1" max="1" width="63.1328125" style="1" bestFit="1" customWidth="1"/>
    <col min="2" max="2" width="18.265625" style="1" bestFit="1" customWidth="1"/>
    <col min="3" max="3" width="17" style="13" bestFit="1" customWidth="1"/>
    <col min="4" max="4" width="7.73046875" style="13" bestFit="1" customWidth="1"/>
    <col min="5" max="5" width="18.265625" style="13" bestFit="1" customWidth="1"/>
    <col min="6" max="6" width="10.265625" style="13" bestFit="1" customWidth="1"/>
    <col min="7" max="7" width="9" customWidth="1"/>
    <col min="8" max="8" width="16.73046875" hidden="1" customWidth="1"/>
    <col min="9" max="9" width="2.1328125" hidden="1" customWidth="1"/>
    <col min="10" max="10" width="24.1328125" hidden="1" customWidth="1"/>
    <col min="11" max="11" width="2.1328125" hidden="1" customWidth="1"/>
    <col min="12" max="12" width="17.86328125" hidden="1" customWidth="1"/>
    <col min="13" max="13" width="2.1328125" hidden="1" customWidth="1"/>
    <col min="14" max="14" width="14.1328125" hidden="1" customWidth="1"/>
    <col min="15" max="15" width="2.1328125" hidden="1" customWidth="1"/>
    <col min="16" max="27" width="9" customWidth="1"/>
    <col min="28" max="1024" width="10.3984375"/>
  </cols>
  <sheetData>
    <row r="1" spans="1:17" ht="25.9" thickBot="1" x14ac:dyDescent="0.5">
      <c r="A1" s="2" t="s">
        <v>27</v>
      </c>
      <c r="B1"/>
      <c r="C1" s="15" t="s">
        <v>34</v>
      </c>
      <c r="D1" s="150" t="str">
        <f>B18&amp;" "&amp;C18</f>
        <v>108 sur 175 possibles</v>
      </c>
      <c r="E1" s="150"/>
      <c r="F1"/>
    </row>
    <row r="2" spans="1:17" ht="18.399999999999999" thickBot="1" x14ac:dyDescent="0.5">
      <c r="A2"/>
      <c r="B2"/>
      <c r="C2" s="16" t="s">
        <v>35</v>
      </c>
      <c r="D2" s="149" t="str">
        <f>B20&amp;" "&amp;C20</f>
        <v>7 sur 10</v>
      </c>
      <c r="E2" s="149"/>
      <c r="F2"/>
    </row>
    <row r="3" spans="1:17" ht="14.65" thickBot="1" x14ac:dyDescent="0.5">
      <c r="A3"/>
      <c r="B3"/>
      <c r="C3"/>
      <c r="D3"/>
      <c r="E3"/>
      <c r="F3"/>
    </row>
    <row r="4" spans="1:17" ht="47.65" thickBot="1" x14ac:dyDescent="0.5">
      <c r="A4" s="76" t="s">
        <v>36</v>
      </c>
      <c r="B4" s="77" t="s">
        <v>200</v>
      </c>
      <c r="C4" s="77" t="s">
        <v>199</v>
      </c>
      <c r="D4" s="78" t="s">
        <v>38</v>
      </c>
      <c r="E4" s="77" t="s">
        <v>39</v>
      </c>
      <c r="F4" s="79" t="s">
        <v>40</v>
      </c>
    </row>
    <row r="5" spans="1:17" ht="42.75" x14ac:dyDescent="0.45">
      <c r="A5" s="109" t="str">
        <f>'Données brutes'!$A$79</f>
        <v>Formation au pilotage de la transition numérique et/ou aux aspects juridiques d'un ou de plusieurs membres de l'équipe de direction (au cours des trois dernières années) :</v>
      </c>
      <c r="B5" s="64" t="str">
        <f>'Données brutes'!B79</f>
        <v>Non</v>
      </c>
      <c r="C5" s="67">
        <f>IF(B5=0,0,IF(B5=H5,I5,IF(B5=J5,K5,IF(B5=L5,M5,O5))))</f>
        <v>0</v>
      </c>
      <c r="D5" s="66">
        <v>4</v>
      </c>
      <c r="E5" s="67">
        <f t="shared" ref="E5:E15" si="0">C5*D5</f>
        <v>0</v>
      </c>
      <c r="F5" s="68">
        <f t="shared" ref="F5:F15" si="1">5*D5</f>
        <v>20</v>
      </c>
      <c r="H5" s="81" t="s">
        <v>46</v>
      </c>
      <c r="I5" s="81">
        <v>0</v>
      </c>
      <c r="J5" s="81" t="s">
        <v>211</v>
      </c>
      <c r="K5" s="81">
        <v>3</v>
      </c>
      <c r="L5" s="81" t="s">
        <v>215</v>
      </c>
      <c r="M5" s="81">
        <v>3</v>
      </c>
      <c r="N5" s="81" t="s">
        <v>95</v>
      </c>
      <c r="O5" s="81">
        <v>5</v>
      </c>
      <c r="P5" s="81"/>
      <c r="Q5" s="81"/>
    </row>
    <row r="6" spans="1:17" ht="28.5" x14ac:dyDescent="0.45">
      <c r="A6" s="104" t="str">
        <f>'Données brutes'!$A$80</f>
        <v>Formation à la transition numérique d'un ou de plusieurs membres du personnel de vie scolaire (au cours des trois dernières années) :</v>
      </c>
      <c r="B6" s="30" t="str">
        <f>'Données brutes'!B80</f>
        <v>Oui</v>
      </c>
      <c r="C6" s="31">
        <f>IF(B6=0,0,IF(B6=H6,I6,K6))</f>
        <v>5</v>
      </c>
      <c r="D6" s="32">
        <v>4</v>
      </c>
      <c r="E6" s="31">
        <f t="shared" si="0"/>
        <v>20</v>
      </c>
      <c r="F6" s="33">
        <f t="shared" si="1"/>
        <v>20</v>
      </c>
      <c r="H6" s="81" t="s">
        <v>46</v>
      </c>
      <c r="I6" s="81">
        <v>0</v>
      </c>
      <c r="J6" s="81" t="s">
        <v>47</v>
      </c>
      <c r="K6" s="81">
        <v>5</v>
      </c>
      <c r="L6" s="81"/>
      <c r="M6" s="81"/>
      <c r="N6" s="81"/>
      <c r="O6" s="81"/>
      <c r="P6" s="81"/>
      <c r="Q6" s="81"/>
    </row>
    <row r="7" spans="1:17" ht="42.75" x14ac:dyDescent="0.45">
      <c r="A7" s="105" t="str">
        <f>'Données brutes'!$A$81</f>
        <v>Formation à la transition numérique d'un ou de plusieurs membres du personnel administratif et/ou technique (au cours des trois dernières années) :</v>
      </c>
      <c r="B7" s="36" t="str">
        <f>'Données brutes'!B81</f>
        <v>Oui</v>
      </c>
      <c r="C7" s="39">
        <f>IF(B7=0,0,IF(B7=H7,I7,K7))</f>
        <v>5</v>
      </c>
      <c r="D7" s="38">
        <v>4</v>
      </c>
      <c r="E7" s="39">
        <f t="shared" si="0"/>
        <v>20</v>
      </c>
      <c r="F7" s="40">
        <f t="shared" si="1"/>
        <v>20</v>
      </c>
      <c r="H7" s="81" t="s">
        <v>46</v>
      </c>
      <c r="I7" s="81">
        <v>0</v>
      </c>
      <c r="J7" s="81" t="s">
        <v>47</v>
      </c>
      <c r="K7" s="81">
        <v>5</v>
      </c>
      <c r="L7" s="81"/>
      <c r="M7" s="81"/>
      <c r="N7" s="81"/>
      <c r="O7" s="81"/>
      <c r="P7" s="81"/>
      <c r="Q7" s="81"/>
    </row>
    <row r="8" spans="1:17" ht="28.5" x14ac:dyDescent="0.45">
      <c r="A8" s="104" t="str">
        <f>'Données brutes'!$A$82</f>
        <v>Formation des professeurs aux usages pédagogiques du numérique sur site  (au cours des trois dernières années) :</v>
      </c>
      <c r="B8" s="30" t="str">
        <f>'Données brutes'!B82</f>
        <v>Au moins deux fois par an</v>
      </c>
      <c r="C8" s="31">
        <f>IF(B8=0,0,IF(B8=H8,I8,IF(B8=J8,K8,IF(B8=L8,M8,O8))))</f>
        <v>5</v>
      </c>
      <c r="D8" s="32">
        <v>3</v>
      </c>
      <c r="E8" s="31">
        <f t="shared" si="0"/>
        <v>15</v>
      </c>
      <c r="F8" s="33">
        <f t="shared" si="1"/>
        <v>15</v>
      </c>
      <c r="H8" s="81" t="s">
        <v>46</v>
      </c>
      <c r="I8" s="81">
        <v>0</v>
      </c>
      <c r="J8" s="81" t="s">
        <v>96</v>
      </c>
      <c r="K8" s="81">
        <v>1</v>
      </c>
      <c r="L8" s="81" t="s">
        <v>97</v>
      </c>
      <c r="M8" s="81">
        <v>3</v>
      </c>
      <c r="N8" s="81" t="s">
        <v>98</v>
      </c>
      <c r="O8" s="81">
        <v>5</v>
      </c>
      <c r="P8" s="81"/>
      <c r="Q8" s="81"/>
    </row>
    <row r="9" spans="1:17" ht="42.75" x14ac:dyDescent="0.45">
      <c r="A9" s="105" t="str">
        <f>'Données brutes'!$A$83</f>
        <v>Animations ponctuelles autour des usages du numérique par un référent numérique (personne ressource) dans l'établissement (au cours des trois dernières années) :</v>
      </c>
      <c r="B9" s="36" t="str">
        <f>'Données brutes'!B83</f>
        <v>Au moins deux fois par an</v>
      </c>
      <c r="C9" s="39">
        <f>IF(B9=0,0,IF(B9=H9,I9,IF(B9=J9,K9,IF(B9=L9,M9,O9))))</f>
        <v>5</v>
      </c>
      <c r="D9" s="38">
        <v>3</v>
      </c>
      <c r="E9" s="39">
        <f t="shared" si="0"/>
        <v>15</v>
      </c>
      <c r="F9" s="40">
        <f t="shared" si="1"/>
        <v>15</v>
      </c>
      <c r="H9" s="81" t="s">
        <v>46</v>
      </c>
      <c r="I9" s="81">
        <v>0</v>
      </c>
      <c r="J9" s="81" t="s">
        <v>96</v>
      </c>
      <c r="K9" s="81">
        <v>1</v>
      </c>
      <c r="L9" s="81" t="s">
        <v>97</v>
      </c>
      <c r="M9" s="81">
        <v>3</v>
      </c>
      <c r="N9" s="81" t="s">
        <v>98</v>
      </c>
      <c r="O9" s="81">
        <v>5</v>
      </c>
      <c r="P9" s="81"/>
      <c r="Q9" s="81"/>
    </row>
    <row r="10" spans="1:17" ht="42.75" x14ac:dyDescent="0.45">
      <c r="A10" s="104" t="str">
        <f>'Données brutes'!$A$84</f>
        <v>Proportion de professeurs ayant suivi une formation (formation continue, Acoustice, M@gistère, MOOC...) aux usages pédagogiques du numérique (au cours des trois dernières années) :</v>
      </c>
      <c r="B10" s="30" t="str">
        <f>'Données brutes'!B84</f>
        <v>Strictement plus de la moitié</v>
      </c>
      <c r="C10" s="31">
        <f>IF(B10=0,0,IF(B10=H10,I10,IF(B10=J10,K10,M10)))</f>
        <v>5</v>
      </c>
      <c r="D10" s="32">
        <v>3</v>
      </c>
      <c r="E10" s="31">
        <f t="shared" si="0"/>
        <v>15</v>
      </c>
      <c r="F10" s="33">
        <f t="shared" si="1"/>
        <v>15</v>
      </c>
      <c r="H10" s="81" t="s">
        <v>99</v>
      </c>
      <c r="I10" s="81">
        <v>0</v>
      </c>
      <c r="J10" s="81" t="s">
        <v>64</v>
      </c>
      <c r="K10" s="81">
        <v>3</v>
      </c>
      <c r="L10" s="81" t="s">
        <v>65</v>
      </c>
      <c r="M10" s="81">
        <v>5</v>
      </c>
      <c r="N10" s="81"/>
      <c r="O10" s="81"/>
      <c r="P10" s="81"/>
      <c r="Q10" s="81"/>
    </row>
    <row r="11" spans="1:17" ht="42.75" x14ac:dyDescent="0.45">
      <c r="A11" s="105" t="str">
        <f>'Données brutes'!$A$85</f>
        <v>Actions d'information et de sensibilisation aux usages responsables du numérique et à l'éducation aux médias et à l'information (EMI) à destination des professeurs (au cours des trois derrnières années) :</v>
      </c>
      <c r="B11" s="36" t="str">
        <f>'Données brutes'!B85</f>
        <v>Au moins une fois au cours des trois dernières années</v>
      </c>
      <c r="C11" s="39">
        <f>IF(B11=0,0,IF(B11=H11,I11,IF(B11=J11,K11,IF(B11=L11,M11,O11))))</f>
        <v>1</v>
      </c>
      <c r="D11" s="38">
        <v>2</v>
      </c>
      <c r="E11" s="39">
        <f t="shared" si="0"/>
        <v>2</v>
      </c>
      <c r="F11" s="40">
        <f t="shared" si="1"/>
        <v>10</v>
      </c>
      <c r="H11" s="81" t="s">
        <v>46</v>
      </c>
      <c r="I11" s="81">
        <v>0</v>
      </c>
      <c r="J11" s="81" t="s">
        <v>96</v>
      </c>
      <c r="K11" s="81">
        <v>1</v>
      </c>
      <c r="L11" s="81" t="s">
        <v>97</v>
      </c>
      <c r="M11" s="81">
        <v>3</v>
      </c>
      <c r="N11" s="81" t="s">
        <v>98</v>
      </c>
      <c r="O11" s="81">
        <v>5</v>
      </c>
      <c r="P11" s="81"/>
      <c r="Q11" s="81"/>
    </row>
    <row r="12" spans="1:17" ht="28.5" x14ac:dyDescent="0.45">
      <c r="A12" s="104" t="str">
        <f>'Données brutes'!$A$86</f>
        <v>Proportion de professeurs mutualisant leurs pratiques du numérique et/ou collaborant via un ou des réseau(x) numérique(s) :</v>
      </c>
      <c r="B12" s="30" t="str">
        <f>'Données brutes'!B86</f>
        <v>Plus de la moitié</v>
      </c>
      <c r="C12" s="31">
        <f>IF(B12=0,0,IF(B12=H12,I12,IF(B12=J12,K12,M12)))</f>
        <v>5</v>
      </c>
      <c r="D12" s="32">
        <v>3</v>
      </c>
      <c r="E12" s="31">
        <f t="shared" si="0"/>
        <v>15</v>
      </c>
      <c r="F12" s="33">
        <f t="shared" si="1"/>
        <v>15</v>
      </c>
      <c r="H12" s="81" t="s">
        <v>99</v>
      </c>
      <c r="I12" s="81">
        <v>0</v>
      </c>
      <c r="J12" s="81" t="s">
        <v>157</v>
      </c>
      <c r="K12" s="81">
        <v>3</v>
      </c>
      <c r="L12" s="81" t="s">
        <v>100</v>
      </c>
      <c r="M12" s="81">
        <v>5</v>
      </c>
      <c r="N12" s="81"/>
      <c r="O12" s="81"/>
      <c r="P12" s="81"/>
      <c r="Q12" s="81"/>
    </row>
    <row r="13" spans="1:17" ht="28.5" x14ac:dyDescent="0.45">
      <c r="A13" s="105" t="str">
        <f>'Données brutes'!$A$87</f>
        <v>Identification dans l'établissement d'une personne chargée de la veille sur le numérique éducatif, de son organisation et de sa diffusion ciblée :</v>
      </c>
      <c r="B13" s="36" t="str">
        <f>'Données brutes'!B87</f>
        <v>Non</v>
      </c>
      <c r="C13" s="39">
        <f>IF(B13=0,0,IF(B13=H13,I13,K13))</f>
        <v>0</v>
      </c>
      <c r="D13" s="38">
        <v>3</v>
      </c>
      <c r="E13" s="39">
        <f t="shared" si="0"/>
        <v>0</v>
      </c>
      <c r="F13" s="40">
        <f t="shared" si="1"/>
        <v>15</v>
      </c>
      <c r="H13" s="81" t="s">
        <v>46</v>
      </c>
      <c r="I13" s="81">
        <v>0</v>
      </c>
      <c r="J13" s="81" t="s">
        <v>47</v>
      </c>
      <c r="K13" s="81">
        <v>5</v>
      </c>
      <c r="L13" s="81"/>
      <c r="M13" s="81"/>
      <c r="N13" s="81"/>
      <c r="O13" s="81"/>
      <c r="P13" s="81"/>
      <c r="Q13" s="81"/>
    </row>
    <row r="14" spans="1:17" ht="42.75" x14ac:dyDescent="0.45">
      <c r="A14" s="104" t="str">
        <f>'Données brutes'!$A$88</f>
        <v>Formation organisée par l'établissement à destination des élèves et des responsables légaux sur les usages des services numériques proposés par l’établissement :</v>
      </c>
      <c r="B14" s="30" t="str">
        <f>'Données brutes'!B88</f>
        <v>Au moins une fois au cours des trois dernières années</v>
      </c>
      <c r="C14" s="31">
        <f>IF(B14=0,0,IF(B14=H14,I14,IF(B14=J14,K14,IF(B14=L14,M14,O14))))</f>
        <v>1</v>
      </c>
      <c r="D14" s="32">
        <v>3</v>
      </c>
      <c r="E14" s="31">
        <f t="shared" si="0"/>
        <v>3</v>
      </c>
      <c r="F14" s="33">
        <f t="shared" si="1"/>
        <v>15</v>
      </c>
      <c r="H14" s="81" t="s">
        <v>46</v>
      </c>
      <c r="I14" s="81">
        <v>0</v>
      </c>
      <c r="J14" s="81" t="s">
        <v>96</v>
      </c>
      <c r="K14" s="81">
        <v>1</v>
      </c>
      <c r="L14" s="81" t="s">
        <v>97</v>
      </c>
      <c r="M14" s="81">
        <v>3</v>
      </c>
      <c r="N14" s="81" t="s">
        <v>98</v>
      </c>
      <c r="O14" s="81">
        <v>5</v>
      </c>
      <c r="P14" s="81"/>
      <c r="Q14" s="81"/>
    </row>
    <row r="15" spans="1:17" ht="57.4" thickBot="1" x14ac:dyDescent="0.5">
      <c r="A15" s="108" t="str">
        <f>'Données brutes'!$A$89</f>
        <v>Participation (au cours des trois dernières années) des élèves et des responsables légaux à la rédaction de la charte d'utilisation des services numériques en fonction de l’ évolution des services proposés et de la législation ex. RGPD :</v>
      </c>
      <c r="B15" s="45" t="str">
        <f>'Données brutes'!B89</f>
        <v>Au moins une fois au cours des trois dernières années</v>
      </c>
      <c r="C15" s="47">
        <f>IF(B15=0,0,IF(B15=H15,I15,IF(B15=J15,K15,IF(B15=L15,M15,O15))))</f>
        <v>1</v>
      </c>
      <c r="D15" s="46">
        <v>3</v>
      </c>
      <c r="E15" s="47">
        <f t="shared" si="0"/>
        <v>3</v>
      </c>
      <c r="F15" s="48">
        <f t="shared" si="1"/>
        <v>15</v>
      </c>
      <c r="H15" s="81" t="s">
        <v>46</v>
      </c>
      <c r="I15" s="81">
        <v>0</v>
      </c>
      <c r="J15" s="81" t="s">
        <v>96</v>
      </c>
      <c r="K15" s="81">
        <v>1</v>
      </c>
      <c r="L15" s="81" t="s">
        <v>97</v>
      </c>
      <c r="M15" s="81">
        <v>3</v>
      </c>
      <c r="N15" s="81" t="s">
        <v>98</v>
      </c>
      <c r="O15" s="81">
        <v>5</v>
      </c>
    </row>
    <row r="16" spans="1:17" x14ac:dyDescent="0.45">
      <c r="A16"/>
      <c r="B16"/>
      <c r="C16"/>
      <c r="D16"/>
    </row>
    <row r="17" spans="1:4" ht="14.65" thickBot="1" x14ac:dyDescent="0.5">
      <c r="A17"/>
      <c r="B17"/>
      <c r="C17"/>
      <c r="D17"/>
    </row>
    <row r="18" spans="1:4" ht="18.399999999999999" thickBot="1" x14ac:dyDescent="0.5">
      <c r="A18" s="62" t="s">
        <v>101</v>
      </c>
      <c r="B18" s="49">
        <f>SUM(E5:E15)</f>
        <v>108</v>
      </c>
      <c r="C18" s="147" t="str">
        <f>"sur "&amp;SUM(F5:F15)&amp;" possibles"</f>
        <v>sur 175 possibles</v>
      </c>
      <c r="D18" s="147"/>
    </row>
    <row r="19" spans="1:4" ht="18.399999999999999" thickBot="1" x14ac:dyDescent="0.5">
      <c r="A19" s="50"/>
      <c r="B19" s="50"/>
      <c r="C19" s="51"/>
      <c r="D19"/>
    </row>
    <row r="20" spans="1:4" ht="19.5" customHeight="1" thickBot="1" x14ac:dyDescent="0.5">
      <c r="A20" s="16" t="s">
        <v>102</v>
      </c>
      <c r="B20" s="52">
        <f>IF(INT(10*B18/SUM(F5:F15))+1&gt;10,10,INT(10*B18/SUM(F5:F15))+1)</f>
        <v>7</v>
      </c>
      <c r="C20" s="149" t="s">
        <v>51</v>
      </c>
      <c r="D20" s="149"/>
    </row>
  </sheetData>
  <sheetProtection pivotTables="0"/>
  <mergeCells count="4">
    <mergeCell ref="D1:E1"/>
    <mergeCell ref="D2:E2"/>
    <mergeCell ref="C18:D18"/>
    <mergeCell ref="C20:D20"/>
  </mergeCells>
  <conditionalFormatting sqref="E5">
    <cfRule type="iconSet" priority="2">
      <iconSet>
        <cfvo type="percent" val="0"/>
        <cfvo type="formula" val="0.4*$F$5"/>
        <cfvo type="formula" val="0.8*$F$5"/>
      </iconSet>
    </cfRule>
  </conditionalFormatting>
  <conditionalFormatting sqref="E6">
    <cfRule type="iconSet" priority="3">
      <iconSet>
        <cfvo type="percent" val="0"/>
        <cfvo type="formula" val="0.4*$F$6"/>
        <cfvo type="formula" val="0.8*$F$6"/>
      </iconSet>
    </cfRule>
  </conditionalFormatting>
  <conditionalFormatting sqref="E7">
    <cfRule type="iconSet" priority="4">
      <iconSet>
        <cfvo type="percent" val="0"/>
        <cfvo type="formula" val="0.4*$F$7"/>
        <cfvo type="formula" val="0.8*$F$7"/>
      </iconSet>
    </cfRule>
  </conditionalFormatting>
  <conditionalFormatting sqref="E8">
    <cfRule type="iconSet" priority="5">
      <iconSet>
        <cfvo type="percent" val="0"/>
        <cfvo type="formula" val="0.4*$F$8"/>
        <cfvo type="formula" val="0.8*$F$8"/>
      </iconSet>
    </cfRule>
  </conditionalFormatting>
  <conditionalFormatting sqref="E9">
    <cfRule type="iconSet" priority="6">
      <iconSet>
        <cfvo type="percent" val="0"/>
        <cfvo type="formula" val="0.4*$F$9"/>
        <cfvo type="formula" val="0.8*$F$9"/>
      </iconSet>
    </cfRule>
  </conditionalFormatting>
  <conditionalFormatting sqref="E10">
    <cfRule type="iconSet" priority="7">
      <iconSet>
        <cfvo type="percent" val="0"/>
        <cfvo type="formula" val="0.4*$F$10"/>
        <cfvo type="formula" val="0.8*$F$10"/>
      </iconSet>
    </cfRule>
  </conditionalFormatting>
  <conditionalFormatting sqref="E11">
    <cfRule type="iconSet" priority="8">
      <iconSet>
        <cfvo type="percent" val="0"/>
        <cfvo type="formula" val="0.4*$F$11"/>
        <cfvo type="formula" val="0.8*$F$11"/>
      </iconSet>
    </cfRule>
  </conditionalFormatting>
  <conditionalFormatting sqref="E12">
    <cfRule type="iconSet" priority="9">
      <iconSet>
        <cfvo type="percent" val="0"/>
        <cfvo type="formula" val="0.4*$F$12"/>
        <cfvo type="formula" val="0.8*$F$12"/>
      </iconSet>
    </cfRule>
  </conditionalFormatting>
  <conditionalFormatting sqref="E13">
    <cfRule type="iconSet" priority="10">
      <iconSet>
        <cfvo type="percent" val="0"/>
        <cfvo type="formula" val="0.4*$F$13"/>
        <cfvo type="formula" val="0.8*$F$13"/>
      </iconSet>
    </cfRule>
  </conditionalFormatting>
  <conditionalFormatting sqref="E14">
    <cfRule type="iconSet" priority="11">
      <iconSet>
        <cfvo type="percent" val="0"/>
        <cfvo type="formula" val="0.4*$F$14"/>
        <cfvo type="formula" val="0.8*$F$14"/>
      </iconSet>
    </cfRule>
  </conditionalFormatting>
  <conditionalFormatting sqref="E15">
    <cfRule type="iconSet" priority="12">
      <iconSet>
        <cfvo type="percent" val="0"/>
        <cfvo type="num" val="0" gte="0"/>
        <cfvo type="formula" val="$F$15*0.8"/>
      </iconSet>
    </cfRule>
  </conditionalFormatting>
  <pageMargins left="0.23611111111111099" right="0.23611111111111099" top="0.23611111111111099" bottom="0.23611111111111099" header="0.51180555555555496" footer="0.51180555555555496"/>
  <pageSetup paperSize="0" scale="0" firstPageNumber="0" orientation="portrait" usePrinterDefaults="0" horizontalDpi="0" verticalDpi="0" copies="0"/>
  <ignoredErrors>
    <ignoredError sqref="C10"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M18"/>
  <sheetViews>
    <sheetView zoomScale="90" zoomScaleNormal="90" workbookViewId="0"/>
  </sheetViews>
  <sheetFormatPr baseColWidth="10" defaultColWidth="9.1328125" defaultRowHeight="14.25" x14ac:dyDescent="0.45"/>
  <cols>
    <col min="1" max="1" width="56.86328125" style="1"/>
    <col min="2" max="2" width="24.1328125" style="1"/>
    <col min="3" max="3" width="15.86328125" style="13"/>
    <col min="4" max="4" width="8.1328125" style="13"/>
    <col min="5" max="5" width="17" style="13"/>
    <col min="6" max="6" width="11.59765625" style="13"/>
    <col min="7" max="7" width="9" customWidth="1"/>
    <col min="8" max="8" width="23" hidden="1" customWidth="1"/>
    <col min="9" max="9" width="2.1328125" hidden="1" customWidth="1"/>
    <col min="10" max="10" width="20.86328125" hidden="1" customWidth="1"/>
    <col min="11" max="11" width="2.1328125" hidden="1" customWidth="1"/>
    <col min="12" max="12" width="14.73046875" hidden="1" customWidth="1"/>
    <col min="13" max="13" width="2.1328125" hidden="1" customWidth="1"/>
    <col min="14" max="27" width="9" customWidth="1"/>
    <col min="28" max="1024" width="10.3984375"/>
  </cols>
  <sheetData>
    <row r="1" spans="1:13" ht="25.9" thickBot="1" x14ac:dyDescent="0.5">
      <c r="A1" s="2" t="s">
        <v>29</v>
      </c>
      <c r="B1"/>
      <c r="C1" s="15" t="s">
        <v>34</v>
      </c>
      <c r="D1" s="150" t="str">
        <f>B16&amp;" "&amp;C16</f>
        <v>45 sur 135 possibles</v>
      </c>
      <c r="E1" s="150"/>
      <c r="F1"/>
    </row>
    <row r="2" spans="1:13" ht="18.399999999999999" thickBot="1" x14ac:dyDescent="0.5">
      <c r="A2"/>
      <c r="B2"/>
      <c r="C2" s="16" t="s">
        <v>35</v>
      </c>
      <c r="D2" s="149" t="str">
        <f>B18&amp;" "&amp;C18</f>
        <v>4 sur 10</v>
      </c>
      <c r="E2" s="149"/>
      <c r="F2"/>
    </row>
    <row r="3" spans="1:13" ht="14.65" thickBot="1" x14ac:dyDescent="0.5">
      <c r="A3"/>
      <c r="B3"/>
      <c r="C3"/>
      <c r="D3"/>
      <c r="E3"/>
      <c r="F3"/>
    </row>
    <row r="4" spans="1:13" ht="47.65" thickBot="1" x14ac:dyDescent="0.5">
      <c r="A4" s="17" t="s">
        <v>36</v>
      </c>
      <c r="B4" s="19" t="s">
        <v>200</v>
      </c>
      <c r="C4" s="19" t="s">
        <v>199</v>
      </c>
      <c r="D4" s="18" t="s">
        <v>38</v>
      </c>
      <c r="E4" s="19" t="s">
        <v>39</v>
      </c>
      <c r="F4" s="20" t="s">
        <v>40</v>
      </c>
    </row>
    <row r="5" spans="1:13" ht="28.5" x14ac:dyDescent="0.45">
      <c r="A5" s="107" t="str">
        <f>'Données brutes'!$A$92</f>
        <v>Taux de réservation des salles informatiques :</v>
      </c>
      <c r="B5" s="23" t="str">
        <f>'Données brutes'!B92</f>
        <v>Inconnu</v>
      </c>
      <c r="C5" s="26">
        <f t="shared" ref="C5:C11" si="0">IF(B5=0,0,IF(B5=H5,I5,IF(B5=J5,K5,M5)))</f>
        <v>0</v>
      </c>
      <c r="D5" s="25">
        <v>2</v>
      </c>
      <c r="E5" s="26">
        <f t="shared" ref="E5:E13" si="1">D5*C5</f>
        <v>0</v>
      </c>
      <c r="F5" s="27">
        <f t="shared" ref="F5:F13" si="2">5*D5</f>
        <v>10</v>
      </c>
      <c r="H5" s="81" t="s">
        <v>103</v>
      </c>
      <c r="I5" s="81">
        <v>0</v>
      </c>
      <c r="J5" s="81" t="s">
        <v>104</v>
      </c>
      <c r="K5" s="81">
        <v>1</v>
      </c>
      <c r="L5" s="81" t="s">
        <v>105</v>
      </c>
      <c r="M5" s="81">
        <v>5</v>
      </c>
    </row>
    <row r="6" spans="1:13" ht="28.5" x14ac:dyDescent="0.45">
      <c r="A6" s="104" t="str">
        <f>'Données brutes'!$A$93</f>
        <v>Taux de réservation des classes mobiles :</v>
      </c>
      <c r="B6" s="69" t="str">
        <f>'Données brutes'!B93</f>
        <v>Inconnu</v>
      </c>
      <c r="C6" s="54">
        <f t="shared" si="0"/>
        <v>0</v>
      </c>
      <c r="D6" s="32">
        <v>4</v>
      </c>
      <c r="E6" s="54">
        <f t="shared" si="1"/>
        <v>0</v>
      </c>
      <c r="F6" s="33">
        <f t="shared" si="2"/>
        <v>20</v>
      </c>
      <c r="H6" s="81" t="s">
        <v>103</v>
      </c>
      <c r="I6" s="81">
        <v>0</v>
      </c>
      <c r="J6" s="81" t="s">
        <v>104</v>
      </c>
      <c r="K6" s="81">
        <v>1</v>
      </c>
      <c r="L6" s="81" t="s">
        <v>105</v>
      </c>
      <c r="M6" s="81">
        <v>5</v>
      </c>
    </row>
    <row r="7" spans="1:13" ht="28.5" x14ac:dyDescent="0.45">
      <c r="A7" s="105" t="str">
        <f>'Données brutes'!$A$94</f>
        <v>Proportion de professeurs utilisant régulièrement des VPI/TNI/TBI, écrans interactifs, écrans vidéo :</v>
      </c>
      <c r="B7" s="23" t="str">
        <f>'Données brutes'!B94</f>
        <v>Inconnue</v>
      </c>
      <c r="C7" s="26">
        <f t="shared" si="0"/>
        <v>0</v>
      </c>
      <c r="D7" s="38">
        <v>4</v>
      </c>
      <c r="E7" s="26">
        <f t="shared" si="1"/>
        <v>0</v>
      </c>
      <c r="F7" s="40">
        <f t="shared" si="2"/>
        <v>20</v>
      </c>
      <c r="H7" s="81" t="s">
        <v>106</v>
      </c>
      <c r="I7" s="81">
        <v>0</v>
      </c>
      <c r="J7" s="81" t="s">
        <v>104</v>
      </c>
      <c r="K7" s="81">
        <v>1</v>
      </c>
      <c r="L7" s="81" t="s">
        <v>105</v>
      </c>
      <c r="M7" s="81">
        <v>5</v>
      </c>
    </row>
    <row r="8" spans="1:13" ht="28.5" x14ac:dyDescent="0.45">
      <c r="A8" s="104" t="str">
        <f>'Données brutes'!$A$95</f>
        <v>Proportion de professeurs remplissant le service de notes après chaque évaluation pour favoriser le suivi régulier des apprenants :</v>
      </c>
      <c r="B8" s="69" t="str">
        <f>'Données brutes'!B95</f>
        <v>Strictement moins de 50%</v>
      </c>
      <c r="C8" s="54">
        <f t="shared" si="0"/>
        <v>1</v>
      </c>
      <c r="D8" s="32">
        <v>4</v>
      </c>
      <c r="E8" s="54">
        <f t="shared" si="1"/>
        <v>4</v>
      </c>
      <c r="F8" s="33">
        <f t="shared" si="2"/>
        <v>20</v>
      </c>
      <c r="H8" s="81" t="s">
        <v>106</v>
      </c>
      <c r="I8" s="81">
        <v>0</v>
      </c>
      <c r="J8" s="81" t="s">
        <v>104</v>
      </c>
      <c r="K8" s="81">
        <v>1</v>
      </c>
      <c r="L8" s="81" t="s">
        <v>105</v>
      </c>
      <c r="M8" s="81">
        <v>5</v>
      </c>
    </row>
    <row r="9" spans="1:13" ht="28.5" x14ac:dyDescent="0.45">
      <c r="A9" s="105" t="str">
        <f>'Données brutes'!$A$96</f>
        <v>Proportion de professeurs remplissant le cahier de textes ou le cahier de liaison numérique chaque semaine :</v>
      </c>
      <c r="B9" s="23" t="str">
        <f>'Données brutes'!B96</f>
        <v>Inconnue</v>
      </c>
      <c r="C9" s="26">
        <f t="shared" si="0"/>
        <v>0</v>
      </c>
      <c r="D9" s="38">
        <v>4</v>
      </c>
      <c r="E9" s="26">
        <f t="shared" si="1"/>
        <v>0</v>
      </c>
      <c r="F9" s="40">
        <f t="shared" si="2"/>
        <v>20</v>
      </c>
      <c r="H9" s="81" t="s">
        <v>106</v>
      </c>
      <c r="I9" s="81">
        <v>0</v>
      </c>
      <c r="J9" s="81" t="s">
        <v>104</v>
      </c>
      <c r="K9" s="81">
        <v>1</v>
      </c>
      <c r="L9" s="81" t="s">
        <v>105</v>
      </c>
      <c r="M9" s="81">
        <v>5</v>
      </c>
    </row>
    <row r="10" spans="1:13" ht="28.5" x14ac:dyDescent="0.45">
      <c r="A10" s="104" t="str">
        <f>'Données brutes'!$A$97</f>
        <v>Proportion de responsables légaux consultant les services de vie scolaire et de suivi de la scolarité au moins une fois par semaine :</v>
      </c>
      <c r="B10" s="69" t="str">
        <f>'Données brutes'!B97</f>
        <v>Plus de 50%</v>
      </c>
      <c r="C10" s="54">
        <f t="shared" si="0"/>
        <v>5</v>
      </c>
      <c r="D10" s="32">
        <v>2</v>
      </c>
      <c r="E10" s="54">
        <f t="shared" si="1"/>
        <v>10</v>
      </c>
      <c r="F10" s="33">
        <f t="shared" si="2"/>
        <v>10</v>
      </c>
      <c r="H10" s="81" t="s">
        <v>106</v>
      </c>
      <c r="I10" s="81">
        <v>0</v>
      </c>
      <c r="J10" s="81" t="s">
        <v>104</v>
      </c>
      <c r="K10" s="81">
        <v>1</v>
      </c>
      <c r="L10" s="81" t="s">
        <v>105</v>
      </c>
      <c r="M10" s="81">
        <v>5</v>
      </c>
    </row>
    <row r="11" spans="1:13" ht="28.5" x14ac:dyDescent="0.45">
      <c r="A11" s="105" t="str">
        <f>'Données brutes'!$A$98</f>
        <v>Proportion d'élèves se connectant chaque jour aux ressources pédagogiques de l'établissement :</v>
      </c>
      <c r="B11" s="23" t="str">
        <f>'Données brutes'!B98</f>
        <v>Plus de 50%</v>
      </c>
      <c r="C11" s="26">
        <f t="shared" si="0"/>
        <v>5</v>
      </c>
      <c r="D11" s="38">
        <v>4</v>
      </c>
      <c r="E11" s="26">
        <f t="shared" si="1"/>
        <v>20</v>
      </c>
      <c r="F11" s="40">
        <f t="shared" si="2"/>
        <v>20</v>
      </c>
      <c r="H11" s="81" t="s">
        <v>106</v>
      </c>
      <c r="I11" s="81">
        <v>0</v>
      </c>
      <c r="J11" s="81" t="s">
        <v>104</v>
      </c>
      <c r="K11" s="81">
        <v>1</v>
      </c>
      <c r="L11" s="81" t="s">
        <v>105</v>
      </c>
      <c r="M11" s="81">
        <v>5</v>
      </c>
    </row>
    <row r="12" spans="1:13" ht="42.75" x14ac:dyDescent="0.45">
      <c r="A12" s="104" t="str">
        <f>'Données brutes'!$A$99</f>
        <v>Fréquentation du site public de l'établissement et des comptes sur des réseaux sociaux numériques RSN de l'établissement :</v>
      </c>
      <c r="B12" s="23" t="str">
        <f>'Données brutes'!B99</f>
        <v>Rarement visités</v>
      </c>
      <c r="C12" s="54">
        <f>IF(B12=0,0,IF(B12=H12,I12,IF(B12=J12,K12,M12)))</f>
        <v>3</v>
      </c>
      <c r="D12" s="32">
        <v>2</v>
      </c>
      <c r="E12" s="54">
        <f t="shared" si="1"/>
        <v>6</v>
      </c>
      <c r="F12" s="33">
        <f t="shared" si="2"/>
        <v>10</v>
      </c>
      <c r="H12" s="81" t="s">
        <v>210</v>
      </c>
      <c r="I12" s="81">
        <v>0</v>
      </c>
      <c r="J12" s="81" t="s">
        <v>162</v>
      </c>
      <c r="K12" s="81">
        <v>3</v>
      </c>
      <c r="L12" s="81" t="s">
        <v>163</v>
      </c>
      <c r="M12" s="81">
        <v>5</v>
      </c>
    </row>
    <row r="13" spans="1:13" ht="43.15" thickBot="1" x14ac:dyDescent="0.5">
      <c r="A13" s="108" t="str">
        <f>'Données brutes'!$A$100</f>
        <v>Équipements numériques utilisés régulièrement par des personnes extérieures à l'établissement (amphithéâtre, salle spécialisée, fablab…) :</v>
      </c>
      <c r="B13" s="23" t="str">
        <f>'Données brutes'!B100</f>
        <v>Oui</v>
      </c>
      <c r="C13" s="54">
        <f>IF(B13=0,0,IF(B13=H13,I13,IF(B13=J13,K13,0)))</f>
        <v>5</v>
      </c>
      <c r="D13" s="46">
        <v>1</v>
      </c>
      <c r="E13" s="26">
        <f t="shared" si="1"/>
        <v>5</v>
      </c>
      <c r="F13" s="48">
        <f t="shared" si="2"/>
        <v>5</v>
      </c>
      <c r="H13" s="81" t="s">
        <v>46</v>
      </c>
      <c r="I13" s="81">
        <v>0</v>
      </c>
      <c r="J13" s="81" t="s">
        <v>47</v>
      </c>
      <c r="K13" s="81">
        <v>5</v>
      </c>
      <c r="L13" s="81"/>
      <c r="M13" s="81"/>
    </row>
    <row r="14" spans="1:13" x14ac:dyDescent="0.45">
      <c r="A14"/>
      <c r="B14"/>
      <c r="C14"/>
      <c r="D14"/>
    </row>
    <row r="15" spans="1:13" ht="14.65" thickBot="1" x14ac:dyDescent="0.5">
      <c r="A15"/>
      <c r="B15"/>
      <c r="C15"/>
      <c r="D15"/>
    </row>
    <row r="16" spans="1:13" ht="18.399999999999999" thickBot="1" x14ac:dyDescent="0.5">
      <c r="A16" s="62" t="s">
        <v>107</v>
      </c>
      <c r="B16" s="49">
        <f>SUM(E5:E13)</f>
        <v>45</v>
      </c>
      <c r="C16" s="147" t="str">
        <f>"sur "&amp;SUM(F5:F13)&amp;" possibles"</f>
        <v>sur 135 possibles</v>
      </c>
      <c r="D16" s="147"/>
    </row>
    <row r="17" spans="1:4" ht="18.399999999999999" thickBot="1" x14ac:dyDescent="0.5">
      <c r="A17" s="50"/>
      <c r="B17" s="50"/>
      <c r="C17" s="51"/>
      <c r="D17"/>
    </row>
    <row r="18" spans="1:4" ht="19.5" customHeight="1" thickBot="1" x14ac:dyDescent="0.5">
      <c r="A18" s="16" t="s">
        <v>108</v>
      </c>
      <c r="B18" s="52">
        <f>IF(INT(10*B16/SUM(F5:F13))+1&gt;10,10,INT(10*B16/SUM(F5:F13))+1)</f>
        <v>4</v>
      </c>
      <c r="C18" s="149" t="s">
        <v>51</v>
      </c>
      <c r="D18" s="149"/>
    </row>
  </sheetData>
  <sheetProtection pivotTables="0"/>
  <mergeCells count="4">
    <mergeCell ref="D1:E1"/>
    <mergeCell ref="D2:E2"/>
    <mergeCell ref="C16:D16"/>
    <mergeCell ref="C18:D18"/>
  </mergeCells>
  <conditionalFormatting sqref="E5">
    <cfRule type="iconSet" priority="2">
      <iconSet>
        <cfvo type="percent" val="0"/>
        <cfvo type="formula" val="0.4*$F$5"/>
        <cfvo type="formula" val="0.8*$F$5"/>
      </iconSet>
    </cfRule>
  </conditionalFormatting>
  <conditionalFormatting sqref="E6">
    <cfRule type="iconSet" priority="3">
      <iconSet>
        <cfvo type="percent" val="0"/>
        <cfvo type="formula" val="0.4*$F$6"/>
        <cfvo type="formula" val="0.8*$F$6"/>
      </iconSet>
    </cfRule>
  </conditionalFormatting>
  <conditionalFormatting sqref="E7">
    <cfRule type="iconSet" priority="4">
      <iconSet>
        <cfvo type="percent" val="0"/>
        <cfvo type="formula" val="0.4*$F$7"/>
        <cfvo type="formula" val="0.8*$F$7"/>
      </iconSet>
    </cfRule>
  </conditionalFormatting>
  <conditionalFormatting sqref="E8">
    <cfRule type="iconSet" priority="5">
      <iconSet>
        <cfvo type="percent" val="0"/>
        <cfvo type="formula" val="0.4*$F$8"/>
        <cfvo type="formula" val="0.8*$F$8"/>
      </iconSet>
    </cfRule>
  </conditionalFormatting>
  <conditionalFormatting sqref="E9">
    <cfRule type="iconSet" priority="6">
      <iconSet>
        <cfvo type="percent" val="0"/>
        <cfvo type="formula" val="0.4*$F$9"/>
        <cfvo type="formula" val="0.8*$F$9"/>
      </iconSet>
    </cfRule>
  </conditionalFormatting>
  <conditionalFormatting sqref="E10">
    <cfRule type="iconSet" priority="7">
      <iconSet>
        <cfvo type="percent" val="0"/>
        <cfvo type="formula" val="0.4*$F$10"/>
        <cfvo type="formula" val="0.8*$F$10"/>
      </iconSet>
    </cfRule>
  </conditionalFormatting>
  <conditionalFormatting sqref="E11">
    <cfRule type="iconSet" priority="8">
      <iconSet>
        <cfvo type="percent" val="0"/>
        <cfvo type="formula" val="0.4*$F$11"/>
        <cfvo type="formula" val="0.8*$F$11"/>
      </iconSet>
    </cfRule>
  </conditionalFormatting>
  <conditionalFormatting sqref="E12">
    <cfRule type="iconSet" priority="9">
      <iconSet>
        <cfvo type="percent" val="0"/>
        <cfvo type="formula" val="0.4*$F$12"/>
        <cfvo type="formula" val="0.8*$F$12"/>
      </iconSet>
    </cfRule>
  </conditionalFormatting>
  <conditionalFormatting sqref="E13">
    <cfRule type="iconSet" priority="10">
      <iconSet>
        <cfvo type="percent" val="0"/>
        <cfvo type="formula" val="0.4*$F$13"/>
        <cfvo type="formula" val="0.8*$F$13"/>
      </iconSet>
    </cfRule>
  </conditionalFormatting>
  <pageMargins left="0.23611111111111099" right="0.23611111111111099" top="0.23611111111111099" bottom="0.23611111111111099" header="0.51180555555555496" footer="0.51180555555555496"/>
  <pageSetup paperSize="0" scale="0" firstPageNumber="0" fitToHeight="0" orientation="portrait" usePrinterDefaults="0" horizontalDpi="0" verticalDpi="0" copie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1:Q25"/>
  <sheetViews>
    <sheetView zoomScaleNormal="100" workbookViewId="0"/>
  </sheetViews>
  <sheetFormatPr baseColWidth="10" defaultColWidth="9.1328125" defaultRowHeight="14.25" x14ac:dyDescent="0.45"/>
  <cols>
    <col min="1" max="1" width="56.86328125" style="1"/>
    <col min="2" max="2" width="24.1328125" style="1"/>
    <col min="3" max="3" width="15.86328125" style="13"/>
    <col min="4" max="4" width="8.1328125" style="13"/>
    <col min="5" max="5" width="17" style="13"/>
    <col min="6" max="6" width="10.59765625" style="13"/>
    <col min="7" max="7" width="9" style="102" customWidth="1"/>
    <col min="8" max="8" width="13.1328125" style="100" hidden="1" customWidth="1"/>
    <col min="9" max="9" width="2" style="100" hidden="1" customWidth="1"/>
    <col min="10" max="10" width="18" style="100" hidden="1" customWidth="1"/>
    <col min="11" max="11" width="2" style="100" hidden="1" customWidth="1"/>
    <col min="12" max="12" width="14.1328125" style="100" hidden="1" customWidth="1"/>
    <col min="13" max="13" width="2" style="100" hidden="1" customWidth="1"/>
    <col min="14" max="14" width="14" style="100" hidden="1" customWidth="1"/>
    <col min="15" max="15" width="2" style="100" hidden="1" customWidth="1"/>
    <col min="16" max="16" width="14" bestFit="1" customWidth="1"/>
    <col min="17" max="17" width="2" bestFit="1" customWidth="1"/>
    <col min="18" max="27" width="9" customWidth="1"/>
    <col min="28" max="1024" width="10.3984375"/>
  </cols>
  <sheetData>
    <row r="1" spans="1:17" ht="25.9" thickBot="1" x14ac:dyDescent="0.5">
      <c r="A1" s="2" t="s">
        <v>32</v>
      </c>
      <c r="B1"/>
      <c r="C1" s="15" t="s">
        <v>34</v>
      </c>
      <c r="D1" s="150" t="str">
        <f>B23&amp;" "&amp;C23</f>
        <v>213 sur 260 possibles</v>
      </c>
      <c r="E1" s="150"/>
      <c r="F1"/>
    </row>
    <row r="2" spans="1:17" ht="18.399999999999999" thickBot="1" x14ac:dyDescent="0.5">
      <c r="A2"/>
      <c r="B2"/>
      <c r="C2" s="16" t="s">
        <v>35</v>
      </c>
      <c r="D2" s="149" t="str">
        <f>B25&amp;" "&amp;C25</f>
        <v>9 sur 10</v>
      </c>
      <c r="E2" s="149"/>
      <c r="F2"/>
    </row>
    <row r="3" spans="1:17" ht="14.65" thickBot="1" x14ac:dyDescent="0.5">
      <c r="A3"/>
      <c r="B3"/>
      <c r="C3"/>
      <c r="D3"/>
      <c r="E3"/>
      <c r="F3"/>
    </row>
    <row r="4" spans="1:17" ht="47.65" thickBot="1" x14ac:dyDescent="0.5">
      <c r="A4" s="17" t="s">
        <v>36</v>
      </c>
      <c r="B4" s="19" t="s">
        <v>200</v>
      </c>
      <c r="C4" s="19" t="s">
        <v>199</v>
      </c>
      <c r="D4" s="18" t="s">
        <v>38</v>
      </c>
      <c r="E4" s="19" t="s">
        <v>39</v>
      </c>
      <c r="F4" s="20" t="s">
        <v>40</v>
      </c>
    </row>
    <row r="5" spans="1:17" ht="42.75" x14ac:dyDescent="0.45">
      <c r="A5" s="104" t="str">
        <f>'Données brutes'!$A$103</f>
        <v>Proportion de professeurs développant des usages pédagogiques du numérique en classe avec les élèves :</v>
      </c>
      <c r="B5" s="69" t="str">
        <f>'Données brutes'!B103</f>
        <v>Plus de 75%</v>
      </c>
      <c r="C5" s="31">
        <f>IF(B5=0,0,IF(B5=H5,I5,IF(B5=J5,K5,IF(B5=L5,M5,O5))))</f>
        <v>5</v>
      </c>
      <c r="D5" s="32">
        <v>4</v>
      </c>
      <c r="E5" s="54">
        <f t="shared" ref="E5:E19" si="0">C5*D5</f>
        <v>20</v>
      </c>
      <c r="F5" s="33">
        <f t="shared" ref="F5:F19" si="1">5*D5</f>
        <v>20</v>
      </c>
      <c r="H5" s="81" t="s">
        <v>109</v>
      </c>
      <c r="I5" s="81">
        <v>0</v>
      </c>
      <c r="J5" s="81" t="s">
        <v>110</v>
      </c>
      <c r="K5" s="81">
        <v>1</v>
      </c>
      <c r="L5" s="81" t="s">
        <v>111</v>
      </c>
      <c r="M5" s="81">
        <v>3</v>
      </c>
      <c r="N5" s="81" t="s">
        <v>112</v>
      </c>
      <c r="O5" s="81">
        <v>5</v>
      </c>
      <c r="P5" s="81"/>
      <c r="Q5" s="81"/>
    </row>
    <row r="6" spans="1:17" ht="42.75" x14ac:dyDescent="0.45">
      <c r="A6" s="105" t="str">
        <f>'Données brutes'!$A$104</f>
        <v>Proportion de manuels scolaires numériques dans l'établissement par rapport aux manuels papiers :</v>
      </c>
      <c r="B6" s="23" t="str">
        <f>'Données brutes'!B104</f>
        <v>Plus de 25% et strictement moins de 50%</v>
      </c>
      <c r="C6" s="39">
        <f>IF(B6=0,0,IF(B6=H6,I6,IF(B6=J6,K6,IF(B6=L6,M6,O6))))</f>
        <v>2</v>
      </c>
      <c r="D6" s="38">
        <v>3</v>
      </c>
      <c r="E6" s="26">
        <f t="shared" si="0"/>
        <v>6</v>
      </c>
      <c r="F6" s="40">
        <f t="shared" si="1"/>
        <v>15</v>
      </c>
      <c r="H6" s="81" t="s">
        <v>109</v>
      </c>
      <c r="I6" s="81">
        <v>0</v>
      </c>
      <c r="J6" s="81" t="s">
        <v>110</v>
      </c>
      <c r="K6" s="81">
        <v>2</v>
      </c>
      <c r="L6" s="81" t="s">
        <v>113</v>
      </c>
      <c r="M6" s="81">
        <v>4</v>
      </c>
      <c r="N6" s="101" t="s">
        <v>114</v>
      </c>
      <c r="O6" s="81">
        <v>5</v>
      </c>
      <c r="P6" s="81"/>
      <c r="Q6" s="81"/>
    </row>
    <row r="7" spans="1:17" ht="57" x14ac:dyDescent="0.45">
      <c r="A7" s="104" t="str">
        <f>'Données brutes'!$A$105</f>
        <v>Usages de services et ressources pédagogiques numériques institutionnels (portail documentaire de l’établissement, portail national documentaire de l'enseignement agricole renadocagri.fr, EducagriNet, Eduthèque, BRNE, ETINCEL, Fondamentaux, etc.) :</v>
      </c>
      <c r="B7" s="69" t="str">
        <f>'Données brutes'!B105</f>
        <v>Oui, régulièrement</v>
      </c>
      <c r="C7" s="31">
        <f>IF(B7=0,0,IF(B7=H7,I7,IF(B7=J7,K7,M7)))</f>
        <v>5</v>
      </c>
      <c r="D7" s="32">
        <v>3</v>
      </c>
      <c r="E7" s="54">
        <f t="shared" si="0"/>
        <v>15</v>
      </c>
      <c r="F7" s="33">
        <f t="shared" si="1"/>
        <v>15</v>
      </c>
      <c r="H7" s="81" t="s">
        <v>46</v>
      </c>
      <c r="I7" s="81">
        <v>0</v>
      </c>
      <c r="J7" s="81" t="s">
        <v>115</v>
      </c>
      <c r="K7" s="81">
        <v>3</v>
      </c>
      <c r="L7" s="81" t="s">
        <v>116</v>
      </c>
      <c r="M7" s="81">
        <v>5</v>
      </c>
      <c r="N7" s="81"/>
      <c r="O7" s="81"/>
      <c r="P7" s="81"/>
      <c r="Q7" s="81"/>
    </row>
    <row r="8" spans="1:17" ht="42.75" x14ac:dyDescent="0.45">
      <c r="A8" s="105" t="str">
        <f>'Données brutes'!$A$106</f>
        <v>Usages d'une messagerie institutionnelle (nationale, d'établissement ou dans l'ENT/l’ENE ou le RSC) pour les échanges professionnels :</v>
      </c>
      <c r="B8" s="23" t="str">
        <f>'Données brutes'!B106</f>
        <v>Généralisés</v>
      </c>
      <c r="C8" s="39">
        <f>IF(B8=0,0,IF(B8=H8,I8,IF(B8=J8,K8,M8)))</f>
        <v>5</v>
      </c>
      <c r="D8" s="38">
        <v>4</v>
      </c>
      <c r="E8" s="26">
        <f t="shared" si="0"/>
        <v>20</v>
      </c>
      <c r="F8" s="40">
        <f t="shared" si="1"/>
        <v>20</v>
      </c>
      <c r="H8" s="81" t="s">
        <v>154</v>
      </c>
      <c r="I8" s="81">
        <v>0</v>
      </c>
      <c r="J8" s="81" t="s">
        <v>93</v>
      </c>
      <c r="K8" s="81">
        <v>3</v>
      </c>
      <c r="L8" s="81" t="s">
        <v>94</v>
      </c>
      <c r="M8" s="81">
        <v>5</v>
      </c>
      <c r="N8" s="81"/>
      <c r="O8" s="81"/>
      <c r="P8" s="81"/>
      <c r="Q8" s="81"/>
    </row>
    <row r="9" spans="1:17" ht="28.5" x14ac:dyDescent="0.45">
      <c r="A9" s="104" t="str">
        <f>'Données brutes'!$A$107</f>
        <v>Usages de la messagerie de l'ENT/l’ENE ou du RSC pour les échanges des professeurs avec les responsables légaux et les partenaires :</v>
      </c>
      <c r="B9" s="69" t="str">
        <f>'Données brutes'!B107</f>
        <v>Limités</v>
      </c>
      <c r="C9" s="31">
        <f t="shared" ref="C9:C14" si="2">IF(B9=0,0,IF(B9=H9,I9,IF(B9=J9,K9,IF(B9=L9,M9,0))))</f>
        <v>3</v>
      </c>
      <c r="D9" s="32">
        <v>3</v>
      </c>
      <c r="E9" s="54">
        <f t="shared" si="0"/>
        <v>9</v>
      </c>
      <c r="F9" s="33">
        <f t="shared" si="1"/>
        <v>15</v>
      </c>
      <c r="H9" s="81" t="s">
        <v>154</v>
      </c>
      <c r="I9" s="81">
        <v>0</v>
      </c>
      <c r="J9" s="81" t="s">
        <v>93</v>
      </c>
      <c r="K9" s="81">
        <v>3</v>
      </c>
      <c r="L9" s="81" t="s">
        <v>94</v>
      </c>
      <c r="M9" s="81">
        <v>5</v>
      </c>
      <c r="N9" s="81" t="s">
        <v>117</v>
      </c>
      <c r="O9" s="81">
        <v>0</v>
      </c>
      <c r="P9" s="81"/>
      <c r="Q9" s="81"/>
    </row>
    <row r="10" spans="1:17" ht="28.5" x14ac:dyDescent="0.45">
      <c r="A10" s="105" t="str">
        <f>'Données brutes'!$A$108</f>
        <v>Usages d'espaces en ligne de stockage ou de partage de documents pédagogiques :</v>
      </c>
      <c r="B10" s="23" t="str">
        <f>'Données brutes'!B108</f>
        <v>Généralisés</v>
      </c>
      <c r="C10" s="39">
        <f t="shared" si="2"/>
        <v>5</v>
      </c>
      <c r="D10" s="38">
        <v>2</v>
      </c>
      <c r="E10" s="26">
        <f t="shared" si="0"/>
        <v>10</v>
      </c>
      <c r="F10" s="40">
        <f t="shared" si="1"/>
        <v>10</v>
      </c>
      <c r="H10" s="81" t="s">
        <v>154</v>
      </c>
      <c r="I10" s="81">
        <v>0</v>
      </c>
      <c r="J10" s="81" t="s">
        <v>93</v>
      </c>
      <c r="K10" s="81">
        <v>3</v>
      </c>
      <c r="L10" s="81" t="s">
        <v>94</v>
      </c>
      <c r="M10" s="81">
        <v>5</v>
      </c>
      <c r="N10" s="81"/>
      <c r="O10" s="81"/>
      <c r="P10" s="81"/>
      <c r="Q10" s="81"/>
    </row>
    <row r="11" spans="1:17" ht="28.5" x14ac:dyDescent="0.45">
      <c r="A11" s="104" t="str">
        <f>'Données brutes'!$A$109</f>
        <v>Usages d'outils numériques pour des pratiques collaboratives entre professeurs :</v>
      </c>
      <c r="B11" s="69" t="str">
        <f>'Données brutes'!B109</f>
        <v>Généralisés</v>
      </c>
      <c r="C11" s="31">
        <f t="shared" si="2"/>
        <v>5</v>
      </c>
      <c r="D11" s="32">
        <v>3</v>
      </c>
      <c r="E11" s="54">
        <f t="shared" si="0"/>
        <v>15</v>
      </c>
      <c r="F11" s="33">
        <f t="shared" si="1"/>
        <v>15</v>
      </c>
      <c r="H11" s="81" t="s">
        <v>154</v>
      </c>
      <c r="I11" s="81">
        <v>0</v>
      </c>
      <c r="J11" s="81" t="s">
        <v>93</v>
      </c>
      <c r="K11" s="81">
        <v>3</v>
      </c>
      <c r="L11" s="81" t="s">
        <v>94</v>
      </c>
      <c r="M11" s="81">
        <v>5</v>
      </c>
      <c r="N11" s="81"/>
      <c r="O11" s="81"/>
      <c r="P11" s="81"/>
      <c r="Q11" s="81"/>
    </row>
    <row r="12" spans="1:17" ht="28.5" x14ac:dyDescent="0.45">
      <c r="A12" s="105" t="str">
        <f>'Données brutes'!$A$110</f>
        <v>Usages d'outils numériques pour des pratiques collaboratives des professeurs avec leurs élèves :</v>
      </c>
      <c r="B12" s="23" t="str">
        <f>'Données brutes'!B110</f>
        <v>Généralisés</v>
      </c>
      <c r="C12" s="39">
        <f t="shared" si="2"/>
        <v>5</v>
      </c>
      <c r="D12" s="38">
        <v>4</v>
      </c>
      <c r="E12" s="26">
        <f t="shared" si="0"/>
        <v>20</v>
      </c>
      <c r="F12" s="40">
        <f t="shared" si="1"/>
        <v>20</v>
      </c>
      <c r="H12" s="81" t="s">
        <v>154</v>
      </c>
      <c r="I12" s="81">
        <v>0</v>
      </c>
      <c r="J12" s="81" t="s">
        <v>93</v>
      </c>
      <c r="K12" s="81">
        <v>3</v>
      </c>
      <c r="L12" s="81" t="s">
        <v>94</v>
      </c>
      <c r="M12" s="81">
        <v>5</v>
      </c>
      <c r="N12" s="81"/>
      <c r="O12" s="81"/>
      <c r="P12" s="81"/>
      <c r="Q12" s="81"/>
    </row>
    <row r="13" spans="1:17" ht="28.5" x14ac:dyDescent="0.45">
      <c r="A13" s="104" t="str">
        <f>'Données brutes'!$A$111</f>
        <v>Usages des réseaux sociaux numériques RSN dans le cadre pédagogique connus et validés par le directeur :</v>
      </c>
      <c r="B13" s="69" t="str">
        <f>'Données brutes'!B111</f>
        <v>Limités</v>
      </c>
      <c r="C13" s="31">
        <f t="shared" si="2"/>
        <v>3</v>
      </c>
      <c r="D13" s="32">
        <v>3</v>
      </c>
      <c r="E13" s="54">
        <f t="shared" si="0"/>
        <v>9</v>
      </c>
      <c r="F13" s="33">
        <f t="shared" si="1"/>
        <v>15</v>
      </c>
      <c r="H13" s="81" t="s">
        <v>154</v>
      </c>
      <c r="I13" s="81">
        <v>0</v>
      </c>
      <c r="J13" s="81" t="s">
        <v>93</v>
      </c>
      <c r="K13" s="81">
        <v>3</v>
      </c>
      <c r="L13" s="81" t="s">
        <v>94</v>
      </c>
      <c r="M13" s="81">
        <v>5</v>
      </c>
      <c r="N13" s="81"/>
      <c r="O13" s="81"/>
      <c r="P13" s="81"/>
      <c r="Q13" s="81"/>
    </row>
    <row r="14" spans="1:17" ht="57" x14ac:dyDescent="0.45">
      <c r="A14" s="106" t="str">
        <f>'Données brutes'!$A$112</f>
        <v>Usages connus et validés par le directeur de la création d’adresses mails, de sites, de blogs, de comptes sur les réseaux sociaux… pour des activités pédagogiques mises en œuvre par les professeurs avec les élèves :</v>
      </c>
      <c r="B14" s="23" t="str">
        <f>'Données brutes'!B112</f>
        <v>Limités</v>
      </c>
      <c r="C14" s="39">
        <f t="shared" si="2"/>
        <v>3</v>
      </c>
      <c r="D14" s="38">
        <v>3</v>
      </c>
      <c r="E14" s="26">
        <f t="shared" si="0"/>
        <v>9</v>
      </c>
      <c r="F14" s="40">
        <f t="shared" si="1"/>
        <v>15</v>
      </c>
      <c r="H14" s="81" t="s">
        <v>154</v>
      </c>
      <c r="I14" s="81">
        <v>0</v>
      </c>
      <c r="J14" s="81" t="s">
        <v>93</v>
      </c>
      <c r="K14" s="81">
        <v>3</v>
      </c>
      <c r="L14" s="81" t="s">
        <v>94</v>
      </c>
      <c r="M14" s="81">
        <v>5</v>
      </c>
      <c r="N14" s="81"/>
      <c r="O14" s="81"/>
      <c r="P14" s="81"/>
      <c r="Q14" s="81"/>
    </row>
    <row r="15" spans="1:17" ht="28.5" x14ac:dyDescent="0.45">
      <c r="A15" s="104" t="str">
        <f>'Données brutes'!$A$113</f>
        <v>Création de médias numériques (journal, radio, vidéo, exposition numérique) - connue et validée par le directeur :</v>
      </c>
      <c r="B15" s="69" t="str">
        <f>'Données brutes'!B113</f>
        <v>Oui</v>
      </c>
      <c r="C15" s="31">
        <f>IF(B15=0,0,IF(B15=H15,I15,K15))</f>
        <v>5</v>
      </c>
      <c r="D15" s="32">
        <v>4</v>
      </c>
      <c r="E15" s="54">
        <f t="shared" si="0"/>
        <v>20</v>
      </c>
      <c r="F15" s="33">
        <f t="shared" si="1"/>
        <v>20</v>
      </c>
      <c r="H15" s="81" t="s">
        <v>46</v>
      </c>
      <c r="I15" s="81">
        <v>0</v>
      </c>
      <c r="J15" s="81" t="s">
        <v>47</v>
      </c>
      <c r="K15" s="81">
        <v>5</v>
      </c>
      <c r="L15" s="81"/>
      <c r="M15" s="81"/>
      <c r="N15" s="81"/>
      <c r="O15" s="81"/>
      <c r="P15" s="81"/>
      <c r="Q15" s="81"/>
    </row>
    <row r="16" spans="1:17" ht="42.75" x14ac:dyDescent="0.45">
      <c r="A16" s="105" t="str">
        <f>'Données brutes'!$A$114</f>
        <v>Utilisation d'outils et de ressources numériques pour le développement de la pratique de l'oral (baladodiffusion, labo de langues, etc.) :</v>
      </c>
      <c r="B16" s="23" t="str">
        <f>'Données brutes'!B114</f>
        <v>Généralisés et pas seulement en LVE</v>
      </c>
      <c r="C16" s="82">
        <f>IF(B16=0,0,IF(B16=H16,I16,IF(B16=J16,K16,IF(B16=L16,M16,IF(B16=N16,O16,IF(B16=P16,Q16,0))))))</f>
        <v>5</v>
      </c>
      <c r="D16" s="38">
        <v>4</v>
      </c>
      <c r="E16" s="26">
        <f t="shared" si="0"/>
        <v>20</v>
      </c>
      <c r="F16" s="40">
        <f t="shared" si="1"/>
        <v>20</v>
      </c>
      <c r="H16" s="81" t="s">
        <v>154</v>
      </c>
      <c r="I16" s="81">
        <v>0</v>
      </c>
      <c r="J16" s="81" t="s">
        <v>118</v>
      </c>
      <c r="K16" s="81">
        <v>1</v>
      </c>
      <c r="L16" s="81" t="s">
        <v>119</v>
      </c>
      <c r="M16" s="81">
        <v>2</v>
      </c>
      <c r="N16" s="81" t="s">
        <v>120</v>
      </c>
      <c r="O16" s="81">
        <v>4</v>
      </c>
      <c r="P16" s="81" t="s">
        <v>121</v>
      </c>
      <c r="Q16" s="81">
        <v>5</v>
      </c>
    </row>
    <row r="17" spans="1:17" ht="42.75" x14ac:dyDescent="0.45">
      <c r="A17" s="105" t="str">
        <f>'Données brutes'!$A$115</f>
        <v>Usages de services numériques de suivi de la maîtrise des compétences (ex : LPC, LSUN), du suivi des périodes de formation en entreprise, e-portfolio, etc. :</v>
      </c>
      <c r="B17" s="69" t="str">
        <f>'Données brutes'!B115</f>
        <v>Oui</v>
      </c>
      <c r="C17" s="31">
        <f>IF(B17=0,0,IF(B17=H17,I17,K17))</f>
        <v>5</v>
      </c>
      <c r="D17" s="32">
        <v>4</v>
      </c>
      <c r="E17" s="54">
        <f t="shared" si="0"/>
        <v>20</v>
      </c>
      <c r="F17" s="33">
        <f t="shared" si="1"/>
        <v>20</v>
      </c>
      <c r="H17" s="81" t="s">
        <v>46</v>
      </c>
      <c r="I17" s="81">
        <v>0</v>
      </c>
      <c r="J17" s="81" t="s">
        <v>47</v>
      </c>
      <c r="K17" s="81">
        <v>5</v>
      </c>
      <c r="L17" s="81"/>
      <c r="M17" s="81"/>
      <c r="N17" s="81"/>
      <c r="O17" s="81"/>
      <c r="P17" s="81"/>
      <c r="Q17" s="81"/>
    </row>
    <row r="18" spans="1:17" ht="28.5" x14ac:dyDescent="0.45">
      <c r="A18" s="105" t="str">
        <f>'Données brutes'!$A$116</f>
        <v>Usages du numérique à des fins de personnalisation des parcours et d'individualisation des enseignements :</v>
      </c>
      <c r="B18" s="23" t="str">
        <f>'Données brutes'!B116</f>
        <v>Généralisés</v>
      </c>
      <c r="C18" s="39">
        <f>IF(B18=0,0,IF(B18=H18,I18,IF(B18=J18,K18,IF(B18=L18,M18,0))))</f>
        <v>5</v>
      </c>
      <c r="D18" s="38">
        <v>4</v>
      </c>
      <c r="E18" s="26">
        <f t="shared" si="0"/>
        <v>20</v>
      </c>
      <c r="F18" s="40">
        <f t="shared" si="1"/>
        <v>20</v>
      </c>
      <c r="H18" s="81" t="s">
        <v>154</v>
      </c>
      <c r="I18" s="81">
        <v>0</v>
      </c>
      <c r="J18" s="81" t="s">
        <v>93</v>
      </c>
      <c r="K18" s="81">
        <v>3</v>
      </c>
      <c r="L18" s="81" t="s">
        <v>94</v>
      </c>
      <c r="M18" s="81">
        <v>5</v>
      </c>
      <c r="N18" s="81"/>
      <c r="O18" s="81"/>
      <c r="P18" s="81"/>
      <c r="Q18" s="81"/>
    </row>
    <row r="19" spans="1:17" ht="42.75" x14ac:dyDescent="0.45">
      <c r="A19" s="105" t="str">
        <f>'Données brutes'!$A$117</f>
        <v>Usages du numérique dans le cadre de la liaison entre les collèges et le lycée, le lycée et l'enseignement supérieur/le monde professionnel (folios -parcours-) :</v>
      </c>
      <c r="B19" s="69" t="str">
        <f>'Données brutes'!B117</f>
        <v>Aucun ou rares</v>
      </c>
      <c r="C19" s="31">
        <f>IF(B19=0,0,IF(B19=H19,I19,IF(B19=J19,K19,IF(B19=L19,M19,0))))</f>
        <v>0</v>
      </c>
      <c r="D19" s="32">
        <v>4</v>
      </c>
      <c r="E19" s="54">
        <f t="shared" si="0"/>
        <v>0</v>
      </c>
      <c r="F19" s="33">
        <f t="shared" si="1"/>
        <v>20</v>
      </c>
      <c r="H19" s="81" t="s">
        <v>154</v>
      </c>
      <c r="I19" s="81">
        <v>0</v>
      </c>
      <c r="J19" s="81" t="s">
        <v>93</v>
      </c>
      <c r="K19" s="81">
        <v>3</v>
      </c>
      <c r="L19" s="81" t="s">
        <v>94</v>
      </c>
      <c r="M19" s="81">
        <v>5</v>
      </c>
      <c r="N19" s="81"/>
      <c r="O19" s="81"/>
      <c r="P19" s="81"/>
      <c r="Q19" s="81"/>
    </row>
    <row r="20" spans="1:17" x14ac:dyDescent="0.45">
      <c r="A20"/>
      <c r="B20"/>
      <c r="C20"/>
      <c r="D20"/>
    </row>
    <row r="21" spans="1:17" x14ac:dyDescent="0.45">
      <c r="A21"/>
      <c r="B21"/>
      <c r="C21"/>
      <c r="D21"/>
    </row>
    <row r="22" spans="1:17" ht="14.65" thickBot="1" x14ac:dyDescent="0.5">
      <c r="A22"/>
      <c r="B22"/>
      <c r="C22"/>
      <c r="D22"/>
    </row>
    <row r="23" spans="1:17" ht="18.399999999999999" thickBot="1" x14ac:dyDescent="0.5">
      <c r="A23" s="62" t="s">
        <v>122</v>
      </c>
      <c r="B23" s="49">
        <f>SUM(E5:E19)</f>
        <v>213</v>
      </c>
      <c r="C23" s="147" t="str">
        <f>"sur "&amp;SUM(F5:F19)&amp;" possibles"</f>
        <v>sur 260 possibles</v>
      </c>
      <c r="D23" s="147"/>
    </row>
    <row r="24" spans="1:17" ht="18.399999999999999" thickBot="1" x14ac:dyDescent="0.5">
      <c r="A24" s="50"/>
      <c r="B24" s="50"/>
      <c r="C24" s="51"/>
      <c r="D24"/>
    </row>
    <row r="25" spans="1:17" ht="19.5" customHeight="1" thickBot="1" x14ac:dyDescent="0.5">
      <c r="A25" s="16" t="s">
        <v>123</v>
      </c>
      <c r="B25" s="52">
        <f>IF(INT(10*B23/SUM(F5:F19))+1&gt;10,10,INT(10*B23/SUM(F5:F19))+1)</f>
        <v>9</v>
      </c>
      <c r="C25" s="149" t="s">
        <v>51</v>
      </c>
      <c r="D25" s="149"/>
    </row>
  </sheetData>
  <sheetProtection pivotTables="0"/>
  <mergeCells count="4">
    <mergeCell ref="D1:E1"/>
    <mergeCell ref="D2:E2"/>
    <mergeCell ref="C23:D23"/>
    <mergeCell ref="C25:D25"/>
  </mergeCells>
  <conditionalFormatting sqref="E5">
    <cfRule type="iconSet" priority="2">
      <iconSet>
        <cfvo type="percent" val="0"/>
        <cfvo type="formula" val="0.4*$F$5"/>
        <cfvo type="formula" val="0.8*$F$5"/>
      </iconSet>
    </cfRule>
  </conditionalFormatting>
  <conditionalFormatting sqref="E6">
    <cfRule type="iconSet" priority="3">
      <iconSet>
        <cfvo type="percent" val="0"/>
        <cfvo type="formula" val="0.4*$F$6"/>
        <cfvo type="formula" val="0.8*$F$6"/>
      </iconSet>
    </cfRule>
  </conditionalFormatting>
  <conditionalFormatting sqref="E7">
    <cfRule type="iconSet" priority="4">
      <iconSet>
        <cfvo type="percent" val="0"/>
        <cfvo type="formula" val="0.4*$F$7"/>
        <cfvo type="formula" val="0.8*$F$7"/>
      </iconSet>
    </cfRule>
  </conditionalFormatting>
  <conditionalFormatting sqref="E8">
    <cfRule type="iconSet" priority="5">
      <iconSet>
        <cfvo type="percent" val="0"/>
        <cfvo type="formula" val="0.4*$F$8"/>
        <cfvo type="formula" val="0.8*$F$8"/>
      </iconSet>
    </cfRule>
  </conditionalFormatting>
  <conditionalFormatting sqref="E9">
    <cfRule type="iconSet" priority="6">
      <iconSet>
        <cfvo type="percent" val="0"/>
        <cfvo type="formula" val="0.4*$F$9"/>
        <cfvo type="formula" val="0.8*$F$9"/>
      </iconSet>
    </cfRule>
  </conditionalFormatting>
  <conditionalFormatting sqref="E10">
    <cfRule type="iconSet" priority="7">
      <iconSet>
        <cfvo type="percent" val="0"/>
        <cfvo type="formula" val="0.4*$F$10"/>
        <cfvo type="formula" val="0.8*$F$10"/>
      </iconSet>
    </cfRule>
  </conditionalFormatting>
  <conditionalFormatting sqref="E11">
    <cfRule type="iconSet" priority="8">
      <iconSet>
        <cfvo type="percent" val="0"/>
        <cfvo type="formula" val="0.4*$F$11"/>
        <cfvo type="formula" val="0.8*$F$11"/>
      </iconSet>
    </cfRule>
  </conditionalFormatting>
  <conditionalFormatting sqref="E12">
    <cfRule type="iconSet" priority="9">
      <iconSet>
        <cfvo type="percent" val="0"/>
        <cfvo type="formula" val="0.4*$F$12"/>
        <cfvo type="formula" val="0.8*$F$12"/>
      </iconSet>
    </cfRule>
  </conditionalFormatting>
  <conditionalFormatting sqref="E13">
    <cfRule type="iconSet" priority="10">
      <iconSet>
        <cfvo type="percent" val="0"/>
        <cfvo type="formula" val="0.4*$F$13"/>
        <cfvo type="formula" val="0.8*$F$13"/>
      </iconSet>
    </cfRule>
  </conditionalFormatting>
  <conditionalFormatting sqref="E14">
    <cfRule type="iconSet" priority="11">
      <iconSet>
        <cfvo type="percent" val="0"/>
        <cfvo type="formula" val="0.4*$F$14"/>
        <cfvo type="formula" val="0.8*$F$14"/>
      </iconSet>
    </cfRule>
  </conditionalFormatting>
  <conditionalFormatting sqref="E15">
    <cfRule type="iconSet" priority="12">
      <iconSet>
        <cfvo type="percent" val="0"/>
        <cfvo type="formula" val="0.4*$F$15"/>
        <cfvo type="formula" val="0.8*$F$15"/>
      </iconSet>
    </cfRule>
  </conditionalFormatting>
  <conditionalFormatting sqref="E16">
    <cfRule type="iconSet" priority="13">
      <iconSet>
        <cfvo type="percent" val="0"/>
        <cfvo type="formula" val="0.4*$F$16"/>
        <cfvo type="formula" val="0.8*$F$16"/>
      </iconSet>
    </cfRule>
  </conditionalFormatting>
  <conditionalFormatting sqref="E17">
    <cfRule type="iconSet" priority="14">
      <iconSet>
        <cfvo type="percent" val="0"/>
        <cfvo type="formula" val="0.4*$F$17"/>
        <cfvo type="formula" val="0.8*$F$17"/>
      </iconSet>
    </cfRule>
  </conditionalFormatting>
  <conditionalFormatting sqref="E18">
    <cfRule type="iconSet" priority="15">
      <iconSet>
        <cfvo type="percent" val="0"/>
        <cfvo type="formula" val="0.4*$F$18"/>
        <cfvo type="formula" val="0.8*$F$18"/>
      </iconSet>
    </cfRule>
  </conditionalFormatting>
  <conditionalFormatting sqref="E19">
    <cfRule type="iconSet" priority="16">
      <iconSet>
        <cfvo type="percent" val="0"/>
        <cfvo type="formula" val="0.4*$F$19"/>
        <cfvo type="formula" val="0.8*$F$19"/>
      </iconSet>
    </cfRule>
  </conditionalFormatting>
  <pageMargins left="0.23611111111111099" right="0.23611111111111099" top="0.23611111111111099" bottom="0.23611111111111099" header="0.51180555555555496" footer="0.51180555555555496"/>
  <pageSetup paperSize="0" scale="0" firstPageNumber="0" orientation="portrait" usePrinterDefaults="0" horizontalDpi="0" verticalDpi="0" copies="0"/>
  <ignoredErrors>
    <ignoredError sqref="C16" formula="1"/>
  </ignoredErrors>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Feuilles de calcul</vt:lpstr>
      </vt:variant>
      <vt:variant>
        <vt:i4>11</vt:i4>
      </vt:variant>
    </vt:vector>
  </HeadingPairs>
  <TitlesOfParts>
    <vt:vector size="11" baseType="lpstr">
      <vt:lpstr>Présentation</vt:lpstr>
      <vt:lpstr>Données brutes</vt:lpstr>
      <vt:lpstr>équipements</vt:lpstr>
      <vt:lpstr>infrastructures</vt:lpstr>
      <vt:lpstr>services</vt:lpstr>
      <vt:lpstr>organisation, gestion et suivi</vt:lpstr>
      <vt:lpstr>formation</vt:lpstr>
      <vt:lpstr>utilisations</vt:lpstr>
      <vt:lpstr>usages</vt:lpstr>
      <vt:lpstr>Résumé</vt:lpstr>
      <vt:lpstr>RADAR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Numérique éducatif de l'Enseignement Agricole Auto-diagnostic de l'établissement</dc:title>
  <dc:creator>SYLVAIN PAYS;VERONIQUE WOZNIAK</dc:creator>
  <cp:lastModifiedBy>V W</cp:lastModifiedBy>
  <cp:revision>0</cp:revision>
  <cp:lastPrinted>2020-06-03T19:19:42Z</cp:lastPrinted>
  <dcterms:created xsi:type="dcterms:W3CDTF">2006-09-16T00:00:00Z</dcterms:created>
  <dcterms:modified xsi:type="dcterms:W3CDTF">2020-06-03T19:31:53Z</dcterms:modified>
  <dc:language>fr-FR</dc:language>
</cp:coreProperties>
</file>